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ovanni.mambrini\Downloads\"/>
    </mc:Choice>
  </mc:AlternateContent>
  <bookViews>
    <workbookView xWindow="-120" yWindow="-120" windowWidth="29040" windowHeight="15720"/>
  </bookViews>
  <sheets>
    <sheet name="Calcolatore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5" l="1"/>
  <c r="R67" i="5" s="1"/>
  <c r="L66" i="5"/>
  <c r="R66" i="5" s="1"/>
  <c r="L65" i="5"/>
  <c r="R65" i="5" s="1"/>
  <c r="L63" i="5"/>
  <c r="R63" i="5" s="1"/>
  <c r="L62" i="5"/>
  <c r="R62" i="5" s="1"/>
  <c r="L61" i="5"/>
  <c r="R61" i="5" s="1"/>
  <c r="L5" i="5"/>
  <c r="R5" i="5" s="1"/>
  <c r="L10" i="5"/>
  <c r="R10" i="5" s="1"/>
  <c r="L9" i="5"/>
  <c r="R9" i="5" s="1"/>
  <c r="L8" i="5"/>
  <c r="R8" i="5" s="1"/>
  <c r="L4" i="5"/>
  <c r="R4" i="5" s="1"/>
  <c r="L6" i="5"/>
  <c r="R6" i="5" s="1"/>
  <c r="L18" i="5"/>
  <c r="R18" i="5" s="1"/>
  <c r="L103" i="5"/>
  <c r="R103" i="5" s="1"/>
  <c r="L97" i="5"/>
  <c r="L89" i="5"/>
  <c r="R89" i="5" s="1"/>
  <c r="L75" i="5"/>
  <c r="M75" i="5" s="1"/>
  <c r="J113" i="5"/>
  <c r="L113" i="5" s="1"/>
  <c r="J112" i="5"/>
  <c r="L112" i="5" s="1"/>
  <c r="J111" i="5"/>
  <c r="L111" i="5" s="1"/>
  <c r="J110" i="5"/>
  <c r="L110" i="5" s="1"/>
  <c r="J109" i="5"/>
  <c r="L109" i="5" s="1"/>
  <c r="J108" i="5"/>
  <c r="L108" i="5" s="1"/>
  <c r="J107" i="5"/>
  <c r="L107" i="5" s="1"/>
  <c r="J106" i="5"/>
  <c r="L106" i="5" s="1"/>
  <c r="J105" i="5"/>
  <c r="L105" i="5" s="1"/>
  <c r="J104" i="5"/>
  <c r="L104" i="5" s="1"/>
  <c r="J99" i="5"/>
  <c r="L99" i="5" s="1"/>
  <c r="J98" i="5"/>
  <c r="L98" i="5" s="1"/>
  <c r="J97" i="5"/>
  <c r="J96" i="5"/>
  <c r="L96" i="5" s="1"/>
  <c r="J95" i="5"/>
  <c r="L95" i="5" s="1"/>
  <c r="J94" i="5"/>
  <c r="L94" i="5" s="1"/>
  <c r="J93" i="5"/>
  <c r="L93" i="5" s="1"/>
  <c r="J92" i="5"/>
  <c r="L92" i="5" s="1"/>
  <c r="J91" i="5"/>
  <c r="L91" i="5" s="1"/>
  <c r="J90" i="5"/>
  <c r="L90" i="5" s="1"/>
  <c r="J85" i="5"/>
  <c r="L85" i="5" s="1"/>
  <c r="J84" i="5"/>
  <c r="J83" i="5"/>
  <c r="J82" i="5"/>
  <c r="J81" i="5"/>
  <c r="L81" i="5" s="1"/>
  <c r="J80" i="5"/>
  <c r="L80" i="5" s="1"/>
  <c r="J79" i="5"/>
  <c r="L79" i="5" s="1"/>
  <c r="J78" i="5"/>
  <c r="J77" i="5"/>
  <c r="L77" i="5" s="1"/>
  <c r="J76" i="5"/>
  <c r="L76" i="5" s="1"/>
  <c r="M70" i="5"/>
  <c r="N70" i="5" s="1"/>
  <c r="M69" i="5"/>
  <c r="N69" i="5" s="1"/>
  <c r="R68" i="5" l="1"/>
  <c r="R64" i="5"/>
  <c r="R7" i="5"/>
  <c r="R11" i="5"/>
  <c r="M79" i="5"/>
  <c r="Q79" i="5" s="1"/>
  <c r="P79" i="5" s="1"/>
  <c r="L78" i="5"/>
  <c r="M78" i="5" s="1"/>
  <c r="R99" i="5"/>
  <c r="L84" i="5"/>
  <c r="R84" i="5" s="1"/>
  <c r="L83" i="5"/>
  <c r="R83" i="5" s="1"/>
  <c r="L82" i="5"/>
  <c r="R82" i="5" s="1"/>
  <c r="M76" i="5"/>
  <c r="M90" i="5" s="1"/>
  <c r="M85" i="5"/>
  <c r="Q85" i="5" s="1"/>
  <c r="P85" i="5" s="1"/>
  <c r="R113" i="5"/>
  <c r="M77" i="5"/>
  <c r="M105" i="5" s="1"/>
  <c r="R104" i="5"/>
  <c r="R110" i="5"/>
  <c r="R111" i="5"/>
  <c r="R112" i="5"/>
  <c r="R90" i="5"/>
  <c r="R96" i="5"/>
  <c r="R97" i="5"/>
  <c r="R98" i="5"/>
  <c r="M80" i="5"/>
  <c r="Q80" i="5" s="1"/>
  <c r="P80" i="5" s="1"/>
  <c r="M81" i="5"/>
  <c r="Q81" i="5" s="1"/>
  <c r="P81" i="5" s="1"/>
  <c r="R75" i="5"/>
  <c r="R76" i="5"/>
  <c r="R85" i="5"/>
  <c r="Q75" i="5"/>
  <c r="P75" i="5" s="1"/>
  <c r="M103" i="5"/>
  <c r="M89" i="5"/>
  <c r="D9" i="5" l="1"/>
  <c r="R80" i="5"/>
  <c r="D24" i="5"/>
  <c r="R81" i="5"/>
  <c r="M94" i="5"/>
  <c r="P94" i="5" s="1"/>
  <c r="Q94" i="5" s="1"/>
  <c r="R94" i="5" s="1"/>
  <c r="M108" i="5"/>
  <c r="P108" i="5" s="1"/>
  <c r="Q108" i="5" s="1"/>
  <c r="R108" i="5" s="1"/>
  <c r="M93" i="5"/>
  <c r="P93" i="5" s="1"/>
  <c r="Q93" i="5" s="1"/>
  <c r="R93" i="5" s="1"/>
  <c r="M107" i="5"/>
  <c r="P107" i="5" s="1"/>
  <c r="Q107" i="5" s="1"/>
  <c r="R107" i="5" s="1"/>
  <c r="Q78" i="5"/>
  <c r="P78" i="5" s="1"/>
  <c r="M106" i="5"/>
  <c r="P106" i="5" s="1"/>
  <c r="Q106" i="5" s="1"/>
  <c r="R106" i="5" s="1"/>
  <c r="M92" i="5"/>
  <c r="P92" i="5" s="1"/>
  <c r="Q92" i="5" s="1"/>
  <c r="R92" i="5" s="1"/>
  <c r="Q76" i="5"/>
  <c r="P76" i="5" s="1"/>
  <c r="M99" i="5"/>
  <c r="P99" i="5" s="1"/>
  <c r="Q99" i="5" s="1"/>
  <c r="M113" i="5"/>
  <c r="P113" i="5" s="1"/>
  <c r="Q113" i="5" s="1"/>
  <c r="M104" i="5"/>
  <c r="P104" i="5" s="1"/>
  <c r="Q104" i="5" s="1"/>
  <c r="M84" i="5"/>
  <c r="M83" i="5"/>
  <c r="M82" i="5"/>
  <c r="M95" i="5"/>
  <c r="P95" i="5" s="1"/>
  <c r="Q95" i="5" s="1"/>
  <c r="R95" i="5" s="1"/>
  <c r="Q77" i="5"/>
  <c r="M109" i="5"/>
  <c r="P109" i="5" s="1"/>
  <c r="Q109" i="5" s="1"/>
  <c r="R109" i="5" s="1"/>
  <c r="M91" i="5"/>
  <c r="P91" i="5" s="1"/>
  <c r="Q91" i="5" s="1"/>
  <c r="R91" i="5" s="1"/>
  <c r="R79" i="5"/>
  <c r="P89" i="5"/>
  <c r="Q89" i="5" s="1"/>
  <c r="P103" i="5"/>
  <c r="Q103" i="5" s="1"/>
  <c r="P105" i="5"/>
  <c r="Q105" i="5" s="1"/>
  <c r="R105" i="5" s="1"/>
  <c r="P90" i="5"/>
  <c r="Q90" i="5" s="1"/>
  <c r="R78" i="5" l="1"/>
  <c r="P77" i="5"/>
  <c r="R77" i="5"/>
  <c r="M97" i="5"/>
  <c r="P97" i="5" s="1"/>
  <c r="Q97" i="5" s="1"/>
  <c r="Q83" i="5"/>
  <c r="P83" i="5" s="1"/>
  <c r="M111" i="5"/>
  <c r="P111" i="5" s="1"/>
  <c r="Q111" i="5" s="1"/>
  <c r="M98" i="5"/>
  <c r="P98" i="5" s="1"/>
  <c r="Q98" i="5" s="1"/>
  <c r="Q84" i="5"/>
  <c r="P84" i="5" s="1"/>
  <c r="M112" i="5"/>
  <c r="P112" i="5" s="1"/>
  <c r="Q112" i="5" s="1"/>
  <c r="M96" i="5"/>
  <c r="P96" i="5" s="1"/>
  <c r="Q96" i="5" s="1"/>
  <c r="Q82" i="5"/>
  <c r="P82" i="5" s="1"/>
  <c r="M110" i="5"/>
  <c r="P110" i="5" s="1"/>
  <c r="Q110" i="5" s="1"/>
  <c r="R100" i="5"/>
  <c r="D30" i="5" s="1"/>
  <c r="R114" i="5"/>
  <c r="D26" i="5" s="1"/>
  <c r="R86" i="5" l="1"/>
  <c r="D28" i="5" s="1"/>
  <c r="L46" i="5"/>
  <c r="L32" i="5"/>
  <c r="J56" i="5"/>
  <c r="L56" i="5" s="1"/>
  <c r="R56" i="5" s="1"/>
  <c r="J55" i="5"/>
  <c r="J54" i="5"/>
  <c r="L54" i="5" s="1"/>
  <c r="J53" i="5"/>
  <c r="L53" i="5" s="1"/>
  <c r="J52" i="5"/>
  <c r="L52" i="5" s="1"/>
  <c r="J51" i="5"/>
  <c r="L51" i="5" s="1"/>
  <c r="J50" i="5"/>
  <c r="L50" i="5" s="1"/>
  <c r="J49" i="5"/>
  <c r="L49" i="5" s="1"/>
  <c r="J48" i="5"/>
  <c r="L48" i="5" s="1"/>
  <c r="J47" i="5"/>
  <c r="L47" i="5" s="1"/>
  <c r="R47" i="5" s="1"/>
  <c r="J42" i="5"/>
  <c r="L42" i="5" s="1"/>
  <c r="R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R33" i="5" s="1"/>
  <c r="J28" i="5"/>
  <c r="L28" i="5" s="1"/>
  <c r="J20" i="5"/>
  <c r="L20" i="5" s="1"/>
  <c r="J21" i="5"/>
  <c r="L21" i="5" s="1"/>
  <c r="J22" i="5"/>
  <c r="L22" i="5" s="1"/>
  <c r="J23" i="5"/>
  <c r="L23" i="5" s="1"/>
  <c r="J24" i="5"/>
  <c r="L24" i="5" s="1"/>
  <c r="J25" i="5"/>
  <c r="L25" i="5" s="1"/>
  <c r="J26" i="5"/>
  <c r="L26" i="5" s="1"/>
  <c r="J27" i="5"/>
  <c r="L27" i="5" s="1"/>
  <c r="J19" i="5"/>
  <c r="L19" i="5" s="1"/>
  <c r="L55" i="5" l="1"/>
  <c r="R55" i="5" s="1"/>
  <c r="R54" i="5"/>
  <c r="R40" i="5"/>
  <c r="R41" i="5"/>
  <c r="R19" i="5"/>
  <c r="R26" i="5"/>
  <c r="R27" i="5"/>
  <c r="R28" i="5"/>
  <c r="M23" i="5"/>
  <c r="M37" i="5" s="1"/>
  <c r="M28" i="5" l="1"/>
  <c r="M27" i="5"/>
  <c r="M26" i="5"/>
  <c r="M25" i="5"/>
  <c r="M24" i="5"/>
  <c r="M38" i="5" s="1"/>
  <c r="M51" i="5"/>
  <c r="P51" i="5" s="1"/>
  <c r="Q51" i="5" s="1"/>
  <c r="R51" i="5" s="1"/>
  <c r="M22" i="5"/>
  <c r="M21" i="5"/>
  <c r="M20" i="5"/>
  <c r="M19" i="5"/>
  <c r="M18" i="5"/>
  <c r="N13" i="5"/>
  <c r="O13" i="5" s="1"/>
  <c r="N12" i="5"/>
  <c r="O12" i="5" s="1"/>
  <c r="Q19" i="5" l="1"/>
  <c r="P19" i="5" s="1"/>
  <c r="M47" i="5"/>
  <c r="M33" i="5"/>
  <c r="P33" i="5" s="1"/>
  <c r="Q27" i="5"/>
  <c r="P27" i="5" s="1"/>
  <c r="M55" i="5"/>
  <c r="P55" i="5" s="1"/>
  <c r="Q55" i="5" s="1"/>
  <c r="M41" i="5"/>
  <c r="P41" i="5" s="1"/>
  <c r="Q20" i="5"/>
  <c r="M34" i="5"/>
  <c r="P34" i="5" s="1"/>
  <c r="M48" i="5"/>
  <c r="Q21" i="5"/>
  <c r="M35" i="5"/>
  <c r="M49" i="5"/>
  <c r="P49" i="5" s="1"/>
  <c r="Q49" i="5" s="1"/>
  <c r="R49" i="5" s="1"/>
  <c r="Q22" i="5"/>
  <c r="M36" i="5"/>
  <c r="P36" i="5" s="1"/>
  <c r="M50" i="5"/>
  <c r="P50" i="5" s="1"/>
  <c r="Q50" i="5" s="1"/>
  <c r="R50" i="5" s="1"/>
  <c r="Q28" i="5"/>
  <c r="P28" i="5" s="1"/>
  <c r="M42" i="5"/>
  <c r="P42" i="5" s="1"/>
  <c r="M56" i="5"/>
  <c r="P56" i="5" s="1"/>
  <c r="Q56" i="5" s="1"/>
  <c r="Q25" i="5"/>
  <c r="M53" i="5"/>
  <c r="P53" i="5" s="1"/>
  <c r="Q53" i="5" s="1"/>
  <c r="R53" i="5" s="1"/>
  <c r="M39" i="5"/>
  <c r="P39" i="5" s="1"/>
  <c r="Q26" i="5"/>
  <c r="P26" i="5" s="1"/>
  <c r="M54" i="5"/>
  <c r="P54" i="5" s="1"/>
  <c r="Q54" i="5" s="1"/>
  <c r="M40" i="5"/>
  <c r="P40" i="5" s="1"/>
  <c r="M46" i="5"/>
  <c r="P46" i="5" s="1"/>
  <c r="Q46" i="5" s="1"/>
  <c r="R46" i="5" s="1"/>
  <c r="M32" i="5"/>
  <c r="P32" i="5" s="1"/>
  <c r="Q32" i="5" s="1"/>
  <c r="R32" i="5" s="1"/>
  <c r="Q24" i="5"/>
  <c r="M52" i="5"/>
  <c r="P52" i="5" s="1"/>
  <c r="Q52" i="5" s="1"/>
  <c r="R52" i="5" s="1"/>
  <c r="P38" i="5"/>
  <c r="Q23" i="5"/>
  <c r="P37" i="5"/>
  <c r="Q18" i="5"/>
  <c r="P20" i="5" l="1"/>
  <c r="R20" i="5"/>
  <c r="P18" i="5"/>
  <c r="P24" i="5"/>
  <c r="R24" i="5"/>
  <c r="P25" i="5"/>
  <c r="R25" i="5"/>
  <c r="P21" i="5"/>
  <c r="R21" i="5"/>
  <c r="P22" i="5"/>
  <c r="R22" i="5"/>
  <c r="P23" i="5"/>
  <c r="R23" i="5"/>
  <c r="Q42" i="5"/>
  <c r="Q39" i="5"/>
  <c r="R39" i="5" s="1"/>
  <c r="Q41" i="5"/>
  <c r="Q33" i="5"/>
  <c r="P35" i="5"/>
  <c r="Q35" i="5" s="1"/>
  <c r="R35" i="5" s="1"/>
  <c r="P47" i="5"/>
  <c r="Q47" i="5" s="1"/>
  <c r="Q36" i="5"/>
  <c r="R36" i="5" s="1"/>
  <c r="P48" i="5"/>
  <c r="Q48" i="5" s="1"/>
  <c r="R48" i="5" s="1"/>
  <c r="R57" i="5" s="1"/>
  <c r="D11" i="5" s="1"/>
  <c r="Q34" i="5"/>
  <c r="R34" i="5" s="1"/>
  <c r="Q40" i="5"/>
  <c r="Q38" i="5"/>
  <c r="R38" i="5" s="1"/>
  <c r="Q37" i="5"/>
  <c r="R37" i="5" s="1"/>
  <c r="R29" i="5" l="1"/>
  <c r="D13" i="5" s="1"/>
  <c r="R43" i="5"/>
  <c r="D15" i="5" s="1"/>
</calcChain>
</file>

<file path=xl/sharedStrings.xml><?xml version="1.0" encoding="utf-8"?>
<sst xmlns="http://schemas.openxmlformats.org/spreadsheetml/2006/main" count="147" uniqueCount="42">
  <si>
    <t>TOTALE</t>
  </si>
  <si>
    <t>Fino a € 1.000,00</t>
  </si>
  <si>
    <t>da € 1.001,00 a € 5.000,00</t>
  </si>
  <si>
    <t>da € 5.001,00 a € 10.000,00</t>
  </si>
  <si>
    <t>da € 10.001,00 a € 25.000,00</t>
  </si>
  <si>
    <t>da € 25.001,00 a € 50.000,00</t>
  </si>
  <si>
    <t>da € 50.001,00 a € 150.000,00</t>
  </si>
  <si>
    <t>da € 150.001,00 a € 250.000,00</t>
  </si>
  <si>
    <t>da € 250.001,00 a € 500.000,00</t>
  </si>
  <si>
    <t>da € 500.001,00 a € 1.500.000,00</t>
  </si>
  <si>
    <t>da € 1.500.001,00 a € 2.500.000</t>
  </si>
  <si>
    <t>da € 2.500.001,00 a € 5.000.000</t>
  </si>
  <si>
    <t>IMPONIBILE</t>
  </si>
  <si>
    <t>IVA 22%</t>
  </si>
  <si>
    <t xml:space="preserve">SPESE AVVIO FINO A 1.000,00 </t>
  </si>
  <si>
    <t xml:space="preserve">SPESE AVVIO DA 1.000,01 A 50.000,00 </t>
  </si>
  <si>
    <t>SPESE AVVIO OLTRE 50.000,01 e Indeterminato</t>
  </si>
  <si>
    <t>SPESE 1° Inc. FINO A 1.000,00 e Indeterminabile BASSO</t>
  </si>
  <si>
    <t>SPESE 1° Inc. DA 1.000,01 A 50.000,00 e Indeterminabile MEDIO</t>
  </si>
  <si>
    <t>SPESE 1° Inc. OLTRE 50.000,01 e Indeterminabile ALTO</t>
  </si>
  <si>
    <t>Raccomandate da inviare nel territorio nazionale</t>
  </si>
  <si>
    <t>Raccomandate da inviare fuori del territorio nazionale</t>
  </si>
  <si>
    <t>ULTERIORI SPESE IN CASO DI PROSECUZIONE O MANCATO ACCORDO</t>
  </si>
  <si>
    <t>Valore della lite</t>
  </si>
  <si>
    <t>VALORE DETERMINATO</t>
  </si>
  <si>
    <t>SCAGLIONE</t>
  </si>
  <si>
    <t>IVA</t>
  </si>
  <si>
    <t>SPESE PER ACCORDO IN INCONTRI SUCCESSIVI AL PRIMO</t>
  </si>
  <si>
    <t xml:space="preserve">IVA </t>
  </si>
  <si>
    <t>Da</t>
  </si>
  <si>
    <t>A</t>
  </si>
  <si>
    <t xml:space="preserve">SPESE PER ACCORDO AL PRIMO INCONTRO </t>
  </si>
  <si>
    <t>CALCOLATORE MEDIAZIONI OBBLIGATORIE (importi IVA inclusa)</t>
  </si>
  <si>
    <t>CALCOLATORE MEDIAZIONI VOLONTARIE (importi IVA inclusa)</t>
  </si>
  <si>
    <t>DA</t>
  </si>
  <si>
    <t>SPESE DOVUTE AL MOMENTO DEL DEPOSITO DELLA DOMANDA / ADESIONE                                                                              (spese di avvio e spese per il primo incontro)</t>
  </si>
  <si>
    <t xml:space="preserve"> SPESE DOVUTE PER ACCORDO AL PRIMO INCONTRO </t>
  </si>
  <si>
    <t>SPESE DOVUTE PER ACCORDO IN INCONTRI SUCCESSIVI AL PRIMO                                          (da sommare all'importo di cui alla voce sopra)</t>
  </si>
  <si>
    <t xml:space="preserve">SPESE DOVUTE IN CASO DI PROSECUZIONE   </t>
  </si>
  <si>
    <t xml:space="preserve">SPESE DOVUTE PER ACCORDO AL PRIMO INCONTRO </t>
  </si>
  <si>
    <t>VALORE DELLA LITE</t>
  </si>
  <si>
    <t xml:space="preserve">Avvertenze
L’utilizzo del file excel in calce per la determinazione delle tariffe da corrispondere per la mediazione ha valore esemplificativo e facilitativo per agevolare le parti nel calcolo.  
In caso di dubbi o per una conferma ufficiale, si consiglia di contattare la Segreteria e/o di consultare il tariffario delle mediazioni presente sul sito.
In ogni caso la Segreteria verificherà gli importi versati e richiederà il pagamento delle somme dovute e non versate o la restituzione di quanto pagato in eccesso    
Non sono ricomprese nel calcolo le spese postali, che ammontano ad € 18,30 (€ 15,00 + IVA) per ogni raccomandata da inviare in territorio nazionale ed € 24,40 (€ 20,00 + IVA) per ogni raccomandata da inviare fuori dal territorio nazionale, da corrispondere unitamente alle spese di avvio.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</si>
</sst>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/>
    <xf numFmtId="44" fontId="0" fillId="0" borderId="0" xfId="1" applyFont="1" applyBorder="1"/>
    <xf numFmtId="44" fontId="0" fillId="0" borderId="0" xfId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/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/>
    <xf numFmtId="44" fontId="0" fillId="0" borderId="0" xfId="1" applyFont="1" applyFill="1" applyBorder="1" applyAlignment="1"/>
    <xf numFmtId="44" fontId="2" fillId="0" borderId="0" xfId="1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0" fontId="0" fillId="0" borderId="3" xfId="0" applyFont="1" applyFill="1" applyBorder="1"/>
    <xf numFmtId="0" fontId="0" fillId="0" borderId="3" xfId="0" applyFont="1" applyBorder="1"/>
    <xf numFmtId="44" fontId="0" fillId="0" borderId="3" xfId="1" applyFont="1" applyFill="1" applyBorder="1"/>
    <xf numFmtId="0" fontId="0" fillId="2" borderId="0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3" xfId="0" applyFont="1" applyFill="1" applyBorder="1"/>
    <xf numFmtId="0" fontId="0" fillId="2" borderId="9" xfId="0" applyFont="1" applyFill="1" applyBorder="1"/>
    <xf numFmtId="0" fontId="0" fillId="3" borderId="0" xfId="0" applyFont="1" applyFill="1" applyBorder="1"/>
    <xf numFmtId="44" fontId="0" fillId="3" borderId="4" xfId="1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44" fontId="0" fillId="3" borderId="7" xfId="1" applyFont="1" applyFill="1" applyBorder="1"/>
    <xf numFmtId="0" fontId="0" fillId="3" borderId="8" xfId="0" applyFont="1" applyFill="1" applyBorder="1"/>
    <xf numFmtId="44" fontId="0" fillId="3" borderId="2" xfId="1" applyFont="1" applyFill="1" applyBorder="1"/>
    <xf numFmtId="0" fontId="0" fillId="3" borderId="3" xfId="0" applyFont="1" applyFill="1" applyBorder="1"/>
    <xf numFmtId="0" fontId="0" fillId="3" borderId="9" xfId="0" applyFont="1" applyFill="1" applyBorder="1"/>
    <xf numFmtId="0" fontId="4" fillId="3" borderId="0" xfId="0" applyFont="1" applyFill="1" applyBorder="1"/>
    <xf numFmtId="44" fontId="4" fillId="3" borderId="0" xfId="1" applyFont="1" applyFill="1" applyBorder="1"/>
    <xf numFmtId="0" fontId="4" fillId="3" borderId="0" xfId="0" applyFont="1" applyFill="1" applyBorder="1" applyAlignment="1"/>
    <xf numFmtId="44" fontId="4" fillId="3" borderId="0" xfId="1" applyFont="1" applyFill="1" applyBorder="1" applyAlignment="1"/>
    <xf numFmtId="0" fontId="4" fillId="2" borderId="0" xfId="0" applyFont="1" applyFill="1" applyBorder="1"/>
    <xf numFmtId="44" fontId="4" fillId="2" borderId="0" xfId="1" applyFont="1" applyFill="1" applyBorder="1"/>
    <xf numFmtId="0" fontId="4" fillId="2" borderId="0" xfId="0" applyFont="1" applyFill="1" applyBorder="1" applyAlignment="1"/>
    <xf numFmtId="44" fontId="4" fillId="2" borderId="0" xfId="1" applyFont="1" applyFill="1" applyBorder="1" applyAlignment="1"/>
    <xf numFmtId="44" fontId="4" fillId="4" borderId="1" xfId="1" applyFont="1" applyFill="1" applyBorder="1" applyProtection="1">
      <protection locked="0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44" fontId="0" fillId="0" borderId="0" xfId="0" applyNumberFormat="1" applyFont="1" applyBorder="1"/>
    <xf numFmtId="44" fontId="0" fillId="0" borderId="0" xfId="1" applyNumberFormat="1" applyFont="1" applyFill="1" applyBorder="1" applyAlignment="1">
      <alignment horizontal="left"/>
    </xf>
    <xf numFmtId="44" fontId="0" fillId="2" borderId="7" xfId="1" applyFont="1" applyFill="1" applyBorder="1"/>
    <xf numFmtId="44" fontId="0" fillId="2" borderId="2" xfId="1" applyFont="1" applyFill="1" applyBorder="1"/>
    <xf numFmtId="0" fontId="4" fillId="0" borderId="0" xfId="0" applyFont="1" applyFill="1" applyBorder="1" applyAlignment="1"/>
    <xf numFmtId="44" fontId="4" fillId="2" borderId="0" xfId="0" applyNumberFormat="1" applyFont="1" applyFill="1" applyBorder="1"/>
    <xf numFmtId="44" fontId="3" fillId="3" borderId="0" xfId="1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44" fontId="3" fillId="3" borderId="0" xfId="1" applyFont="1" applyFill="1" applyBorder="1" applyAlignment="1"/>
    <xf numFmtId="44" fontId="3" fillId="3" borderId="8" xfId="1" applyFont="1" applyFill="1" applyBorder="1" applyAlignment="1"/>
    <xf numFmtId="44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0" fillId="0" borderId="0" xfId="1" applyNumberFormat="1" applyFont="1" applyFill="1" applyBorder="1" applyAlignment="1">
      <alignment vertical="center" wrapText="1"/>
    </xf>
    <xf numFmtId="0" fontId="0" fillId="0" borderId="0" xfId="0" applyNumberFormat="1" applyAlignment="1">
      <alignment vertical="center"/>
    </xf>
    <xf numFmtId="44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Normale" xfId="0" builtinId="0"/>
    <cellStyle name="Valuta" xfId="1" builtinId="4"/>
  </cellStyles>
  <dxfs count="1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79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2431999</xdr:colOff>
      <xdr:row>0</xdr:row>
      <xdr:rowOff>414564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061" y="0"/>
          <a:ext cx="2889754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tabSelected="1" zoomScale="103" zoomScaleNormal="103" workbookViewId="0">
      <selection activeCell="Z14" sqref="Z14"/>
    </sheetView>
  </sheetViews>
  <sheetFormatPr defaultColWidth="9.1328125" defaultRowHeight="14.25" x14ac:dyDescent="0.45"/>
  <cols>
    <col min="1" max="1" width="3.3984375" style="11" customWidth="1"/>
    <col min="2" max="2" width="6.3984375" style="2" customWidth="1"/>
    <col min="3" max="3" width="74.1328125" style="11" customWidth="1"/>
    <col min="4" max="4" width="18.59765625" style="11" customWidth="1"/>
    <col min="5" max="5" width="6.73046875" style="11" customWidth="1"/>
    <col min="6" max="6" width="3.3984375" style="11" customWidth="1"/>
    <col min="7" max="7" width="13.86328125" style="13" customWidth="1"/>
    <col min="8" max="10" width="13.86328125" style="11" hidden="1" customWidth="1"/>
    <col min="11" max="11" width="23" style="11" hidden="1" customWidth="1"/>
    <col min="12" max="16" width="13.86328125" style="11" hidden="1" customWidth="1"/>
    <col min="17" max="17" width="13.86328125" style="3" hidden="1" customWidth="1"/>
    <col min="18" max="18" width="13.86328125" style="2" hidden="1" customWidth="1"/>
    <col min="19" max="19" width="5.73046875" style="11" customWidth="1"/>
    <col min="20" max="16384" width="9.1328125" style="11"/>
  </cols>
  <sheetData>
    <row r="1" spans="1:18" ht="48" customHeight="1" x14ac:dyDescent="0.45">
      <c r="B1" s="69"/>
      <c r="C1" s="70"/>
      <c r="D1" s="70"/>
      <c r="E1" s="70"/>
    </row>
    <row r="2" spans="1:18" ht="160.5" customHeight="1" x14ac:dyDescent="0.45">
      <c r="B2" s="67" t="s">
        <v>41</v>
      </c>
      <c r="C2" s="68"/>
      <c r="D2" s="68"/>
      <c r="E2" s="68"/>
    </row>
    <row r="3" spans="1:18" ht="14.65" thickBot="1" x14ac:dyDescent="0.5">
      <c r="J3" s="11" t="s">
        <v>34</v>
      </c>
      <c r="K3" s="11" t="s">
        <v>30</v>
      </c>
      <c r="L3" s="11" t="s">
        <v>24</v>
      </c>
      <c r="M3" s="12" t="s">
        <v>12</v>
      </c>
      <c r="N3" s="12" t="s">
        <v>13</v>
      </c>
      <c r="O3" s="12" t="s">
        <v>0</v>
      </c>
      <c r="P3" s="13"/>
      <c r="R3" s="3"/>
    </row>
    <row r="4" spans="1:18" x14ac:dyDescent="0.45">
      <c r="A4" s="32"/>
      <c r="B4" s="33"/>
      <c r="C4" s="34"/>
      <c r="D4" s="34"/>
      <c r="E4" s="35"/>
      <c r="F4" s="32"/>
      <c r="H4" s="14">
        <v>2091</v>
      </c>
      <c r="I4" s="11" t="s">
        <v>14</v>
      </c>
      <c r="J4" s="55">
        <v>0</v>
      </c>
      <c r="K4" s="54">
        <v>1000</v>
      </c>
      <c r="L4" s="9">
        <f>IF(AND($D$7&gt;J4,$D$7&lt;=K4),$D$7,0)</f>
        <v>0</v>
      </c>
      <c r="M4" s="12">
        <v>32</v>
      </c>
      <c r="N4" s="12">
        <v>7.04</v>
      </c>
      <c r="O4" s="15">
        <v>39.04</v>
      </c>
      <c r="P4" s="13"/>
      <c r="R4" s="3">
        <f>IF(L4&gt;0,O4,0)</f>
        <v>0</v>
      </c>
    </row>
    <row r="5" spans="1:18" x14ac:dyDescent="0.45">
      <c r="A5" s="32"/>
      <c r="B5" s="36"/>
      <c r="C5" s="60" t="s">
        <v>32</v>
      </c>
      <c r="D5" s="62"/>
      <c r="E5" s="63"/>
      <c r="F5" s="32"/>
      <c r="H5" s="16">
        <v>2092</v>
      </c>
      <c r="I5" s="13" t="s">
        <v>15</v>
      </c>
      <c r="J5" s="54">
        <v>1000.01</v>
      </c>
      <c r="K5" s="54">
        <v>50000</v>
      </c>
      <c r="L5" s="9">
        <f>IF(AND($D$7&gt;J5,$D$7&lt;=K5),$D$7,0)</f>
        <v>0</v>
      </c>
      <c r="M5" s="17">
        <v>60</v>
      </c>
      <c r="N5" s="17">
        <v>13.2</v>
      </c>
      <c r="O5" s="18">
        <v>73.2</v>
      </c>
      <c r="P5" s="13"/>
      <c r="R5" s="3">
        <f>IF(L5&gt;0,O5,0)</f>
        <v>0</v>
      </c>
    </row>
    <row r="6" spans="1:18" ht="14.65" thickBot="1" x14ac:dyDescent="0.5">
      <c r="A6" s="32"/>
      <c r="B6" s="36"/>
      <c r="C6" s="32"/>
      <c r="D6" s="32"/>
      <c r="E6" s="37"/>
      <c r="F6" s="32"/>
      <c r="H6" s="16">
        <v>2093</v>
      </c>
      <c r="I6" s="13" t="s">
        <v>16</v>
      </c>
      <c r="J6" s="54">
        <v>50000.01</v>
      </c>
      <c r="K6" s="54">
        <v>5000000000000</v>
      </c>
      <c r="L6" s="9">
        <f>IF(AND($D$7&gt;J6,$D$7&lt;=K6),$D$7,0)</f>
        <v>0</v>
      </c>
      <c r="M6" s="17">
        <v>88</v>
      </c>
      <c r="N6" s="17">
        <v>19.36</v>
      </c>
      <c r="O6" s="18">
        <v>107.36</v>
      </c>
      <c r="P6" s="13"/>
      <c r="R6" s="3">
        <f>IF(L6&gt;0,O6,0)</f>
        <v>0</v>
      </c>
    </row>
    <row r="7" spans="1:18" ht="14.65" thickBot="1" x14ac:dyDescent="0.5">
      <c r="A7" s="32"/>
      <c r="B7" s="36"/>
      <c r="C7" s="41" t="s">
        <v>40</v>
      </c>
      <c r="D7" s="49">
        <v>0</v>
      </c>
      <c r="E7" s="37"/>
      <c r="F7" s="32"/>
      <c r="H7" s="16"/>
      <c r="I7" s="13"/>
      <c r="J7" s="54"/>
      <c r="K7" s="54"/>
      <c r="M7" s="16"/>
      <c r="N7" s="16"/>
      <c r="O7" s="19"/>
      <c r="P7" s="13"/>
      <c r="R7" s="3">
        <f>MAX(R4:R6)</f>
        <v>0</v>
      </c>
    </row>
    <row r="8" spans="1:18" x14ac:dyDescent="0.45">
      <c r="A8" s="32"/>
      <c r="B8" s="36"/>
      <c r="C8" s="32"/>
      <c r="D8" s="32"/>
      <c r="E8" s="37"/>
      <c r="F8" s="32"/>
      <c r="H8" s="16">
        <v>2094</v>
      </c>
      <c r="I8" s="13" t="s">
        <v>17</v>
      </c>
      <c r="J8" s="55">
        <v>0</v>
      </c>
      <c r="K8" s="54">
        <v>1000</v>
      </c>
      <c r="L8" s="9">
        <f>IF(AND($D$7&gt;J4,$D$7&lt;=K4),$D$7,0)</f>
        <v>0</v>
      </c>
      <c r="M8" s="17">
        <v>48</v>
      </c>
      <c r="N8" s="17">
        <v>10.56</v>
      </c>
      <c r="O8" s="18">
        <v>58.56</v>
      </c>
      <c r="P8" s="20"/>
      <c r="R8" s="3">
        <f>IF(L8&gt;0,O8,0)</f>
        <v>0</v>
      </c>
    </row>
    <row r="9" spans="1:18" ht="28.5" x14ac:dyDescent="0.45">
      <c r="A9" s="32"/>
      <c r="B9" s="36"/>
      <c r="C9" s="52" t="s">
        <v>35</v>
      </c>
      <c r="D9" s="42">
        <f>R7+R11</f>
        <v>0</v>
      </c>
      <c r="E9" s="37"/>
      <c r="F9" s="32"/>
      <c r="H9" s="16">
        <v>2095</v>
      </c>
      <c r="I9" s="13" t="s">
        <v>18</v>
      </c>
      <c r="J9" s="54">
        <v>1000.01</v>
      </c>
      <c r="K9" s="54">
        <v>50000</v>
      </c>
      <c r="L9" s="9">
        <f>IF(AND($D$7&gt;J5,$D$7&lt;=K5),$D$7,0)</f>
        <v>0</v>
      </c>
      <c r="M9" s="17">
        <v>96</v>
      </c>
      <c r="N9" s="17">
        <v>21.12</v>
      </c>
      <c r="O9" s="18">
        <v>117.12</v>
      </c>
      <c r="P9" s="20"/>
      <c r="R9" s="3">
        <f>IF(L9&gt;0,O9,0)</f>
        <v>0</v>
      </c>
    </row>
    <row r="10" spans="1:18" x14ac:dyDescent="0.45">
      <c r="A10" s="32"/>
      <c r="B10" s="36"/>
      <c r="C10" s="32"/>
      <c r="D10" s="32"/>
      <c r="E10" s="37"/>
      <c r="F10" s="32"/>
      <c r="H10" s="16">
        <v>2096</v>
      </c>
      <c r="I10" s="13" t="s">
        <v>19</v>
      </c>
      <c r="J10" s="54">
        <v>50000.01</v>
      </c>
      <c r="K10" s="54">
        <v>5000000000000</v>
      </c>
      <c r="L10" s="9">
        <f>IF(AND($D$7&gt;J6,$D$7&lt;=K6),$D$7,0)</f>
        <v>0</v>
      </c>
      <c r="M10" s="17">
        <v>136</v>
      </c>
      <c r="N10" s="17">
        <v>29.92</v>
      </c>
      <c r="O10" s="18">
        <v>165.92</v>
      </c>
      <c r="P10" s="13"/>
      <c r="R10" s="3">
        <f>IF(L10&gt;0,O10,0)</f>
        <v>0</v>
      </c>
    </row>
    <row r="11" spans="1:18" ht="25.15" customHeight="1" x14ac:dyDescent="0.45">
      <c r="A11" s="32"/>
      <c r="B11" s="36"/>
      <c r="C11" s="43" t="s">
        <v>39</v>
      </c>
      <c r="D11" s="44">
        <f>R57</f>
        <v>0</v>
      </c>
      <c r="E11" s="37"/>
      <c r="F11" s="32"/>
      <c r="H11" s="16"/>
      <c r="I11" s="13"/>
      <c r="M11" s="16"/>
      <c r="N11" s="16"/>
      <c r="O11" s="19"/>
      <c r="P11" s="13"/>
      <c r="R11" s="3">
        <f>MAX(R8:R10)</f>
        <v>0</v>
      </c>
    </row>
    <row r="12" spans="1:18" x14ac:dyDescent="0.45">
      <c r="A12" s="32"/>
      <c r="B12" s="36"/>
      <c r="C12" s="32"/>
      <c r="D12" s="32"/>
      <c r="E12" s="37"/>
      <c r="F12" s="32"/>
      <c r="H12" s="16">
        <v>2099</v>
      </c>
      <c r="I12" s="13" t="s">
        <v>20</v>
      </c>
      <c r="M12" s="18">
        <v>15</v>
      </c>
      <c r="N12" s="18">
        <f>M12*0.22</f>
        <v>3.3</v>
      </c>
      <c r="O12" s="18">
        <f>M12+N12</f>
        <v>18.3</v>
      </c>
      <c r="P12" s="13"/>
      <c r="R12" s="3"/>
    </row>
    <row r="13" spans="1:18" x14ac:dyDescent="0.45">
      <c r="A13" s="32"/>
      <c r="B13" s="36"/>
      <c r="C13" s="65" t="s">
        <v>38</v>
      </c>
      <c r="D13" s="64">
        <f>R29</f>
        <v>0</v>
      </c>
      <c r="E13" s="37"/>
      <c r="F13" s="32"/>
      <c r="H13" s="16">
        <v>2099</v>
      </c>
      <c r="I13" s="13" t="s">
        <v>21</v>
      </c>
      <c r="M13" s="18">
        <v>20</v>
      </c>
      <c r="N13" s="18">
        <f>M13*0.22</f>
        <v>4.4000000000000004</v>
      </c>
      <c r="O13" s="18">
        <f>M13+N13</f>
        <v>24.4</v>
      </c>
      <c r="P13" s="13"/>
      <c r="R13" s="3"/>
    </row>
    <row r="14" spans="1:18" x14ac:dyDescent="0.45">
      <c r="A14" s="32"/>
      <c r="B14" s="36"/>
      <c r="C14" s="32"/>
      <c r="D14" s="32"/>
      <c r="E14" s="37"/>
      <c r="F14" s="32"/>
      <c r="H14" s="13"/>
      <c r="I14" s="13"/>
      <c r="J14" s="13"/>
      <c r="K14" s="13"/>
      <c r="L14" s="13"/>
      <c r="M14" s="13"/>
      <c r="N14" s="13"/>
      <c r="O14" s="13"/>
      <c r="P14" s="13"/>
      <c r="Q14" s="2"/>
    </row>
    <row r="15" spans="1:18" ht="28.5" x14ac:dyDescent="0.45">
      <c r="A15" s="32"/>
      <c r="B15" s="36"/>
      <c r="C15" s="52" t="s">
        <v>37</v>
      </c>
      <c r="D15" s="44">
        <f>R43</f>
        <v>0</v>
      </c>
      <c r="E15" s="37"/>
      <c r="F15" s="32"/>
      <c r="H15" s="13"/>
      <c r="I15" s="13"/>
      <c r="J15" s="13"/>
      <c r="K15" s="13"/>
      <c r="L15" s="13"/>
      <c r="M15" s="13"/>
      <c r="N15" s="13"/>
      <c r="O15" s="13"/>
      <c r="P15" s="13"/>
      <c r="Q15" s="2"/>
    </row>
    <row r="16" spans="1:18" ht="14.65" thickBot="1" x14ac:dyDescent="0.5">
      <c r="A16" s="32"/>
      <c r="B16" s="38"/>
      <c r="C16" s="39"/>
      <c r="D16" s="39"/>
      <c r="E16" s="40"/>
      <c r="F16" s="32"/>
      <c r="I16" s="17" t="s">
        <v>22</v>
      </c>
      <c r="J16" s="17"/>
      <c r="K16" s="17"/>
      <c r="L16" s="17"/>
      <c r="M16" s="17"/>
      <c r="N16" s="17"/>
      <c r="O16" s="17"/>
      <c r="P16" s="17"/>
      <c r="Q16" s="2"/>
    </row>
    <row r="17" spans="1:18" x14ac:dyDescent="0.45">
      <c r="A17" s="13"/>
      <c r="C17" s="13"/>
      <c r="D17" s="13"/>
      <c r="E17" s="13"/>
      <c r="F17" s="13"/>
      <c r="I17" s="17" t="s">
        <v>25</v>
      </c>
      <c r="J17" s="16" t="s">
        <v>29</v>
      </c>
      <c r="K17" s="16" t="s">
        <v>30</v>
      </c>
      <c r="L17" s="17" t="s">
        <v>24</v>
      </c>
      <c r="M17" s="17" t="s">
        <v>12</v>
      </c>
      <c r="N17" s="17"/>
      <c r="O17" s="17"/>
      <c r="P17" s="17" t="s">
        <v>26</v>
      </c>
      <c r="Q17" s="1" t="s">
        <v>0</v>
      </c>
      <c r="R17" s="1"/>
    </row>
    <row r="18" spans="1:18" ht="14.65" thickBot="1" x14ac:dyDescent="0.5">
      <c r="A18" s="13"/>
      <c r="C18" s="13"/>
      <c r="D18" s="13"/>
      <c r="E18" s="13"/>
      <c r="F18" s="13"/>
      <c r="H18" s="14"/>
      <c r="I18" s="17" t="s">
        <v>1</v>
      </c>
      <c r="J18" s="4">
        <v>0</v>
      </c>
      <c r="K18" s="4">
        <v>1000</v>
      </c>
      <c r="L18" s="9">
        <f t="shared" ref="L18:L28" si="0">IF(AND($D$7&gt;J18,$D$7&lt;=K18),$D$7,0)</f>
        <v>0</v>
      </c>
      <c r="M18" s="9">
        <f>((((L18-0)*0.08)+80)*(1-20%)-48)</f>
        <v>16</v>
      </c>
      <c r="N18" s="9"/>
      <c r="O18" s="9"/>
      <c r="P18" s="9">
        <f t="shared" ref="P18:P28" si="1">Q18-M18</f>
        <v>3.5199999999999996</v>
      </c>
      <c r="Q18" s="2">
        <f t="shared" ref="Q18:Q28" si="2">M18*1.22</f>
        <v>19.52</v>
      </c>
      <c r="R18" s="2">
        <f>IF(L18&gt;0,Q18,0)</f>
        <v>0</v>
      </c>
    </row>
    <row r="19" spans="1:18" x14ac:dyDescent="0.45">
      <c r="A19" s="24"/>
      <c r="B19" s="25"/>
      <c r="C19" s="26"/>
      <c r="D19" s="26"/>
      <c r="E19" s="27"/>
      <c r="F19" s="24"/>
      <c r="H19" s="14"/>
      <c r="I19" s="17" t="s">
        <v>2</v>
      </c>
      <c r="J19" s="4">
        <f>K18</f>
        <v>1000</v>
      </c>
      <c r="K19" s="4">
        <v>5000</v>
      </c>
      <c r="L19" s="9">
        <f t="shared" si="0"/>
        <v>0</v>
      </c>
      <c r="M19" s="9">
        <f>(((L19-1001)*0.0325)+160)*(1-20%)-96</f>
        <v>5.9740000000000038</v>
      </c>
      <c r="N19" s="9"/>
      <c r="O19" s="9"/>
      <c r="P19" s="9">
        <f t="shared" si="1"/>
        <v>1.314280000000001</v>
      </c>
      <c r="Q19" s="2">
        <f t="shared" si="2"/>
        <v>7.2882800000000048</v>
      </c>
      <c r="R19" s="2">
        <f t="shared" ref="R19:R28" si="3">IF(L19&gt;0,Q19,0)</f>
        <v>0</v>
      </c>
    </row>
    <row r="20" spans="1:18" x14ac:dyDescent="0.45">
      <c r="A20" s="24"/>
      <c r="B20" s="28"/>
      <c r="C20" s="50" t="s">
        <v>33</v>
      </c>
      <c r="D20" s="50"/>
      <c r="E20" s="51"/>
      <c r="F20" s="24"/>
      <c r="H20" s="14"/>
      <c r="I20" s="17" t="s">
        <v>3</v>
      </c>
      <c r="J20" s="4">
        <f t="shared" ref="J20:J28" si="4">K19</f>
        <v>5000</v>
      </c>
      <c r="K20" s="4">
        <v>10000</v>
      </c>
      <c r="L20" s="9">
        <f t="shared" si="0"/>
        <v>0</v>
      </c>
      <c r="M20" s="9">
        <f>(((L20-5001)*0.030006)+290)*(1-20%)-96</f>
        <v>15.951995199999999</v>
      </c>
      <c r="N20" s="9"/>
      <c r="O20" s="9"/>
      <c r="P20" s="9">
        <f t="shared" si="1"/>
        <v>3.5094389439999993</v>
      </c>
      <c r="Q20" s="2">
        <f t="shared" si="2"/>
        <v>19.461434143999998</v>
      </c>
      <c r="R20" s="2">
        <f t="shared" si="3"/>
        <v>0</v>
      </c>
    </row>
    <row r="21" spans="1:18" ht="14.65" thickBot="1" x14ac:dyDescent="0.5">
      <c r="A21" s="24"/>
      <c r="B21" s="28"/>
      <c r="C21" s="24"/>
      <c r="D21" s="24"/>
      <c r="E21" s="29"/>
      <c r="F21" s="24"/>
      <c r="H21" s="13"/>
      <c r="I21" s="17" t="s">
        <v>4</v>
      </c>
      <c r="J21" s="4">
        <f t="shared" si="4"/>
        <v>10000</v>
      </c>
      <c r="K21" s="4">
        <v>25000</v>
      </c>
      <c r="L21" s="9">
        <f t="shared" si="0"/>
        <v>0</v>
      </c>
      <c r="M21" s="9">
        <f>(((L21-10001)*0.018667)+440)*(1-20%)-96</f>
        <v>106.64906640000001</v>
      </c>
      <c r="N21" s="9"/>
      <c r="O21" s="9"/>
      <c r="P21" s="9">
        <f t="shared" si="1"/>
        <v>23.462794607999996</v>
      </c>
      <c r="Q21" s="2">
        <f t="shared" si="2"/>
        <v>130.11186100800001</v>
      </c>
      <c r="R21" s="2">
        <f t="shared" si="3"/>
        <v>0</v>
      </c>
    </row>
    <row r="22" spans="1:18" ht="14.65" thickBot="1" x14ac:dyDescent="0.5">
      <c r="A22" s="24"/>
      <c r="B22" s="28"/>
      <c r="C22" s="45" t="s">
        <v>40</v>
      </c>
      <c r="D22" s="49">
        <v>0</v>
      </c>
      <c r="E22" s="29"/>
      <c r="F22" s="24"/>
      <c r="I22" s="17" t="s">
        <v>5</v>
      </c>
      <c r="J22" s="4">
        <f t="shared" si="4"/>
        <v>25000</v>
      </c>
      <c r="K22" s="4">
        <v>50000</v>
      </c>
      <c r="L22" s="9">
        <f t="shared" si="0"/>
        <v>0</v>
      </c>
      <c r="M22" s="9">
        <f>(((L22-25001)*0.0192)+720)*(1-20%)-96</f>
        <v>95.984640000000041</v>
      </c>
      <c r="N22" s="9"/>
      <c r="O22" s="9"/>
      <c r="P22" s="9">
        <f t="shared" si="1"/>
        <v>21.116620800000007</v>
      </c>
      <c r="Q22" s="2">
        <f t="shared" si="2"/>
        <v>117.10126080000005</v>
      </c>
      <c r="R22" s="2">
        <f t="shared" si="3"/>
        <v>0</v>
      </c>
    </row>
    <row r="23" spans="1:18" s="13" customFormat="1" x14ac:dyDescent="0.45">
      <c r="A23" s="24"/>
      <c r="B23" s="28"/>
      <c r="C23" s="45"/>
      <c r="D23" s="46"/>
      <c r="E23" s="29"/>
      <c r="F23" s="24"/>
      <c r="H23" s="5"/>
      <c r="I23" s="6" t="s">
        <v>6</v>
      </c>
      <c r="J23" s="4">
        <f t="shared" si="4"/>
        <v>50000</v>
      </c>
      <c r="K23" s="7">
        <v>150000</v>
      </c>
      <c r="L23" s="9">
        <f t="shared" si="0"/>
        <v>0</v>
      </c>
      <c r="M23" s="10">
        <f>(((L23-50001)*0.003)+1200)*(1-20%)-136</f>
        <v>703.99760000000015</v>
      </c>
      <c r="N23" s="10"/>
      <c r="O23" s="10"/>
      <c r="P23" s="10">
        <f t="shared" si="1"/>
        <v>154.87947199999996</v>
      </c>
      <c r="Q23" s="8">
        <f t="shared" si="2"/>
        <v>858.87707200000011</v>
      </c>
      <c r="R23" s="2">
        <f t="shared" si="3"/>
        <v>0</v>
      </c>
    </row>
    <row r="24" spans="1:18" ht="28.5" x14ac:dyDescent="0.45">
      <c r="A24" s="24"/>
      <c r="B24" s="28"/>
      <c r="C24" s="61" t="s">
        <v>35</v>
      </c>
      <c r="D24" s="59">
        <f>R64+R68</f>
        <v>0</v>
      </c>
      <c r="E24" s="29"/>
      <c r="F24" s="24"/>
      <c r="I24" s="17" t="s">
        <v>7</v>
      </c>
      <c r="J24" s="4">
        <f t="shared" si="4"/>
        <v>150000</v>
      </c>
      <c r="K24" s="4">
        <v>250000</v>
      </c>
      <c r="L24" s="9">
        <f t="shared" si="0"/>
        <v>0</v>
      </c>
      <c r="M24" s="9">
        <f>(((L24-150001)*0.01)+1500)*(1-20%)-136</f>
        <v>-136.00799999999998</v>
      </c>
      <c r="N24" s="9"/>
      <c r="O24" s="9"/>
      <c r="P24" s="9">
        <f t="shared" si="1"/>
        <v>-29.921760000000006</v>
      </c>
      <c r="Q24" s="2">
        <f t="shared" si="2"/>
        <v>-165.92975999999999</v>
      </c>
      <c r="R24" s="2">
        <f t="shared" si="3"/>
        <v>0</v>
      </c>
    </row>
    <row r="25" spans="1:18" x14ac:dyDescent="0.45">
      <c r="A25" s="24"/>
      <c r="B25" s="28"/>
      <c r="C25" s="24"/>
      <c r="D25" s="24"/>
      <c r="E25" s="29"/>
      <c r="F25" s="24"/>
      <c r="I25" s="17" t="s">
        <v>8</v>
      </c>
      <c r="J25" s="4">
        <f t="shared" si="4"/>
        <v>250000</v>
      </c>
      <c r="K25" s="4">
        <v>500000</v>
      </c>
      <c r="L25" s="9">
        <f t="shared" si="0"/>
        <v>0</v>
      </c>
      <c r="M25" s="9">
        <f>(((L25-250001)*0.0056)+2500)*(1-20%)-136</f>
        <v>743.99552000000006</v>
      </c>
      <c r="N25" s="9"/>
      <c r="O25" s="9"/>
      <c r="P25" s="9">
        <f t="shared" si="1"/>
        <v>163.67901440000003</v>
      </c>
      <c r="Q25" s="2">
        <f t="shared" si="2"/>
        <v>907.67453440000008</v>
      </c>
      <c r="R25" s="2">
        <f t="shared" si="3"/>
        <v>0</v>
      </c>
    </row>
    <row r="26" spans="1:18" x14ac:dyDescent="0.45">
      <c r="A26" s="24"/>
      <c r="B26" s="28"/>
      <c r="C26" s="47" t="s">
        <v>36</v>
      </c>
      <c r="D26" s="48">
        <f>R114</f>
        <v>0</v>
      </c>
      <c r="E26" s="29"/>
      <c r="F26" s="24"/>
      <c r="I26" s="17" t="s">
        <v>9</v>
      </c>
      <c r="J26" s="4">
        <f t="shared" si="4"/>
        <v>500000</v>
      </c>
      <c r="K26" s="4">
        <v>1500000</v>
      </c>
      <c r="L26" s="9">
        <f t="shared" si="0"/>
        <v>0</v>
      </c>
      <c r="M26" s="9">
        <f>(((L26-500001)*0.0007)+3900)*(1-20%)-136</f>
        <v>2703.99944</v>
      </c>
      <c r="N26" s="9"/>
      <c r="O26" s="9"/>
      <c r="P26" s="9">
        <f t="shared" si="1"/>
        <v>594.87987680000015</v>
      </c>
      <c r="Q26" s="2">
        <f t="shared" si="2"/>
        <v>3298.8793168000002</v>
      </c>
      <c r="R26" s="2">
        <f t="shared" si="3"/>
        <v>0</v>
      </c>
    </row>
    <row r="27" spans="1:18" x14ac:dyDescent="0.45">
      <c r="A27" s="24"/>
      <c r="B27" s="28"/>
      <c r="C27" s="24"/>
      <c r="D27" s="24"/>
      <c r="E27" s="29"/>
      <c r="F27" s="24"/>
      <c r="I27" s="17" t="s">
        <v>10</v>
      </c>
      <c r="J27" s="4">
        <f t="shared" si="4"/>
        <v>1500000</v>
      </c>
      <c r="K27" s="4">
        <v>2500000</v>
      </c>
      <c r="L27" s="9">
        <f t="shared" si="0"/>
        <v>0</v>
      </c>
      <c r="M27" s="9">
        <f>(((L27-1500001)*0.0019)+4600)*(1-20%)-136</f>
        <v>1263.99848</v>
      </c>
      <c r="N27" s="9"/>
      <c r="O27" s="9"/>
      <c r="P27" s="9">
        <f t="shared" si="1"/>
        <v>278.0796656</v>
      </c>
      <c r="Q27" s="2">
        <f t="shared" si="2"/>
        <v>1542.0781456</v>
      </c>
      <c r="R27" s="2">
        <f t="shared" si="3"/>
        <v>0</v>
      </c>
    </row>
    <row r="28" spans="1:18" x14ac:dyDescent="0.45">
      <c r="A28" s="24"/>
      <c r="B28" s="28"/>
      <c r="C28" s="66" t="s">
        <v>38</v>
      </c>
      <c r="D28" s="48">
        <f>R86</f>
        <v>0</v>
      </c>
      <c r="E28" s="29"/>
      <c r="F28" s="24"/>
      <c r="I28" s="17" t="s">
        <v>11</v>
      </c>
      <c r="J28" s="4">
        <f t="shared" si="4"/>
        <v>2500000</v>
      </c>
      <c r="K28" s="4">
        <v>5000000</v>
      </c>
      <c r="L28" s="9">
        <f t="shared" si="0"/>
        <v>0</v>
      </c>
      <c r="M28" s="9">
        <f>(((L28-2500001)*0.0014)+6500)*(1-20%)-136</f>
        <v>2263.9988800000001</v>
      </c>
      <c r="N28" s="9"/>
      <c r="O28" s="9"/>
      <c r="P28" s="9">
        <f t="shared" si="1"/>
        <v>498.0797536</v>
      </c>
      <c r="Q28" s="2">
        <f t="shared" si="2"/>
        <v>2762.0786336000001</v>
      </c>
      <c r="R28" s="2">
        <f t="shared" si="3"/>
        <v>0</v>
      </c>
    </row>
    <row r="29" spans="1:18" x14ac:dyDescent="0.45">
      <c r="A29" s="24"/>
      <c r="B29" s="28"/>
      <c r="C29" s="24"/>
      <c r="D29" s="46"/>
      <c r="E29" s="29"/>
      <c r="F29" s="24"/>
      <c r="I29" s="9"/>
      <c r="J29" s="1"/>
      <c r="K29" s="1"/>
      <c r="L29" s="9"/>
      <c r="M29" s="9"/>
      <c r="N29" s="9"/>
      <c r="O29" s="9"/>
      <c r="P29" s="9"/>
      <c r="Q29" s="2"/>
      <c r="R29" s="2">
        <f>MAX(R17:R28)</f>
        <v>0</v>
      </c>
    </row>
    <row r="30" spans="1:18" ht="28.5" x14ac:dyDescent="0.45">
      <c r="A30" s="24"/>
      <c r="B30" s="56"/>
      <c r="C30" s="61" t="s">
        <v>37</v>
      </c>
      <c r="D30" s="48">
        <f>R100</f>
        <v>0</v>
      </c>
      <c r="E30" s="29"/>
      <c r="F30" s="24"/>
      <c r="I30" s="17" t="s">
        <v>27</v>
      </c>
      <c r="J30" s="17"/>
      <c r="K30" s="17"/>
      <c r="L30" s="9"/>
      <c r="M30" s="9"/>
      <c r="N30" s="9"/>
      <c r="O30" s="9"/>
      <c r="P30" s="9"/>
      <c r="Q30" s="2"/>
    </row>
    <row r="31" spans="1:18" ht="14.65" thickBot="1" x14ac:dyDescent="0.5">
      <c r="A31" s="24"/>
      <c r="B31" s="57"/>
      <c r="C31" s="30"/>
      <c r="D31" s="30"/>
      <c r="E31" s="31"/>
      <c r="F31" s="24"/>
      <c r="I31" s="17" t="s">
        <v>23</v>
      </c>
      <c r="J31" s="16"/>
      <c r="K31" s="16"/>
      <c r="L31" s="17" t="s">
        <v>24</v>
      </c>
      <c r="M31" s="9" t="s">
        <v>12</v>
      </c>
      <c r="N31" s="9"/>
      <c r="O31" s="9"/>
      <c r="P31" s="9" t="s">
        <v>28</v>
      </c>
      <c r="Q31" s="1" t="s">
        <v>0</v>
      </c>
      <c r="R31" s="1"/>
    </row>
    <row r="32" spans="1:18" x14ac:dyDescent="0.45">
      <c r="A32" s="58"/>
      <c r="B32" s="58"/>
      <c r="C32" s="58"/>
      <c r="D32" s="58"/>
      <c r="E32" s="58"/>
      <c r="F32" s="58"/>
      <c r="I32" s="17" t="s">
        <v>1</v>
      </c>
      <c r="J32" s="4">
        <v>0</v>
      </c>
      <c r="K32" s="4">
        <v>1000</v>
      </c>
      <c r="L32" s="9">
        <f t="shared" ref="L32:L42" si="5">IF(AND($D$7&gt;J32,$D$7&lt;=K32),$D$7,0)</f>
        <v>0</v>
      </c>
      <c r="M32" s="9">
        <f>M18*0.25</f>
        <v>4</v>
      </c>
      <c r="N32" s="9">
        <v>60</v>
      </c>
      <c r="O32" s="9">
        <v>60</v>
      </c>
      <c r="P32" s="9">
        <f>M32*0.22</f>
        <v>0.88</v>
      </c>
      <c r="Q32" s="1">
        <f t="shared" ref="Q32:Q42" si="6">M32+P32</f>
        <v>4.88</v>
      </c>
      <c r="R32" s="2">
        <f t="shared" ref="R32:R42" si="7">IF(L32&gt;0,Q32,0)</f>
        <v>0</v>
      </c>
    </row>
    <row r="33" spans="1:18" x14ac:dyDescent="0.45">
      <c r="A33" s="58"/>
      <c r="B33" s="58"/>
      <c r="C33" s="58"/>
      <c r="D33" s="58"/>
      <c r="E33" s="58"/>
      <c r="F33" s="58"/>
      <c r="I33" s="17" t="s">
        <v>2</v>
      </c>
      <c r="J33" s="4">
        <f>K32</f>
        <v>1000</v>
      </c>
      <c r="K33" s="4">
        <v>5000</v>
      </c>
      <c r="L33" s="9">
        <f t="shared" si="5"/>
        <v>0</v>
      </c>
      <c r="M33" s="9">
        <f t="shared" ref="M33:M42" si="8">M19*0.25</f>
        <v>1.4935000000000009</v>
      </c>
      <c r="N33" s="9">
        <v>60</v>
      </c>
      <c r="O33" s="9">
        <v>60</v>
      </c>
      <c r="P33" s="9">
        <f t="shared" ref="P33:P42" si="9">M33*0.22</f>
        <v>0.3285700000000002</v>
      </c>
      <c r="Q33" s="1">
        <f t="shared" si="6"/>
        <v>1.8220700000000012</v>
      </c>
      <c r="R33" s="2">
        <f t="shared" si="7"/>
        <v>0</v>
      </c>
    </row>
    <row r="34" spans="1:18" x14ac:dyDescent="0.45">
      <c r="I34" s="17" t="s">
        <v>3</v>
      </c>
      <c r="J34" s="4">
        <f t="shared" ref="J34:J42" si="10">K33</f>
        <v>5000</v>
      </c>
      <c r="K34" s="4">
        <v>10000</v>
      </c>
      <c r="L34" s="9">
        <f t="shared" si="5"/>
        <v>0</v>
      </c>
      <c r="M34" s="9">
        <f t="shared" si="8"/>
        <v>3.9879987999999997</v>
      </c>
      <c r="N34" s="9">
        <v>60</v>
      </c>
      <c r="O34" s="9">
        <v>60</v>
      </c>
      <c r="P34" s="9">
        <f t="shared" si="9"/>
        <v>0.87735973599999995</v>
      </c>
      <c r="Q34" s="1">
        <f t="shared" si="6"/>
        <v>4.8653585359999996</v>
      </c>
      <c r="R34" s="2">
        <f t="shared" si="7"/>
        <v>0</v>
      </c>
    </row>
    <row r="35" spans="1:18" x14ac:dyDescent="0.45">
      <c r="C35" s="53"/>
      <c r="I35" s="17" t="s">
        <v>4</v>
      </c>
      <c r="J35" s="4">
        <f t="shared" si="10"/>
        <v>10000</v>
      </c>
      <c r="K35" s="4">
        <v>25000</v>
      </c>
      <c r="L35" s="9">
        <f t="shared" si="5"/>
        <v>0</v>
      </c>
      <c r="M35" s="9">
        <f t="shared" si="8"/>
        <v>26.662266600000002</v>
      </c>
      <c r="N35" s="9">
        <v>60</v>
      </c>
      <c r="O35" s="9">
        <v>60</v>
      </c>
      <c r="P35" s="9">
        <f t="shared" si="9"/>
        <v>5.8656986520000007</v>
      </c>
      <c r="Q35" s="1">
        <f t="shared" si="6"/>
        <v>32.527965252000001</v>
      </c>
      <c r="R35" s="2">
        <f t="shared" si="7"/>
        <v>0</v>
      </c>
    </row>
    <row r="36" spans="1:18" x14ac:dyDescent="0.45">
      <c r="I36" s="17" t="s">
        <v>5</v>
      </c>
      <c r="J36" s="4">
        <f t="shared" si="10"/>
        <v>25000</v>
      </c>
      <c r="K36" s="4">
        <v>50000</v>
      </c>
      <c r="L36" s="9">
        <f t="shared" si="5"/>
        <v>0</v>
      </c>
      <c r="M36" s="9">
        <f t="shared" si="8"/>
        <v>23.99616000000001</v>
      </c>
      <c r="N36" s="9">
        <v>60</v>
      </c>
      <c r="O36" s="9">
        <v>60</v>
      </c>
      <c r="P36" s="9">
        <f t="shared" si="9"/>
        <v>5.2791552000000026</v>
      </c>
      <c r="Q36" s="1">
        <f t="shared" si="6"/>
        <v>29.275315200000012</v>
      </c>
      <c r="R36" s="2">
        <f t="shared" si="7"/>
        <v>0</v>
      </c>
    </row>
    <row r="37" spans="1:18" x14ac:dyDescent="0.45">
      <c r="I37" s="17" t="s">
        <v>6</v>
      </c>
      <c r="J37" s="4">
        <f t="shared" si="10"/>
        <v>50000</v>
      </c>
      <c r="K37" s="7">
        <v>150000</v>
      </c>
      <c r="L37" s="9">
        <f t="shared" si="5"/>
        <v>0</v>
      </c>
      <c r="M37" s="9">
        <f t="shared" si="8"/>
        <v>175.99940000000004</v>
      </c>
      <c r="N37" s="9">
        <v>60</v>
      </c>
      <c r="O37" s="9">
        <v>60</v>
      </c>
      <c r="P37" s="9">
        <f t="shared" si="9"/>
        <v>38.719868000000005</v>
      </c>
      <c r="Q37" s="1">
        <f t="shared" si="6"/>
        <v>214.71926800000006</v>
      </c>
      <c r="R37" s="2">
        <f t="shared" si="7"/>
        <v>0</v>
      </c>
    </row>
    <row r="38" spans="1:18" x14ac:dyDescent="0.45">
      <c r="I38" s="17" t="s">
        <v>7</v>
      </c>
      <c r="J38" s="4">
        <f t="shared" si="10"/>
        <v>150000</v>
      </c>
      <c r="K38" s="4">
        <v>250000</v>
      </c>
      <c r="L38" s="9">
        <f t="shared" si="5"/>
        <v>0</v>
      </c>
      <c r="M38" s="9">
        <f t="shared" si="8"/>
        <v>-34.001999999999995</v>
      </c>
      <c r="N38" s="9">
        <v>60</v>
      </c>
      <c r="O38" s="9">
        <v>60</v>
      </c>
      <c r="P38" s="9">
        <f t="shared" si="9"/>
        <v>-7.4804399999999989</v>
      </c>
      <c r="Q38" s="1">
        <f t="shared" si="6"/>
        <v>-41.482439999999997</v>
      </c>
      <c r="R38" s="2">
        <f t="shared" si="7"/>
        <v>0</v>
      </c>
    </row>
    <row r="39" spans="1:18" x14ac:dyDescent="0.45">
      <c r="I39" s="17" t="s">
        <v>8</v>
      </c>
      <c r="J39" s="4">
        <f t="shared" si="10"/>
        <v>250000</v>
      </c>
      <c r="K39" s="4">
        <v>500000</v>
      </c>
      <c r="L39" s="9">
        <f t="shared" si="5"/>
        <v>0</v>
      </c>
      <c r="M39" s="9">
        <f t="shared" si="8"/>
        <v>185.99888000000001</v>
      </c>
      <c r="N39" s="9">
        <v>60</v>
      </c>
      <c r="O39" s="9">
        <v>60</v>
      </c>
      <c r="P39" s="9">
        <f t="shared" si="9"/>
        <v>40.9197536</v>
      </c>
      <c r="Q39" s="1">
        <f t="shared" si="6"/>
        <v>226.91863360000002</v>
      </c>
      <c r="R39" s="2">
        <f t="shared" si="7"/>
        <v>0</v>
      </c>
    </row>
    <row r="40" spans="1:18" x14ac:dyDescent="0.45">
      <c r="I40" s="17" t="s">
        <v>9</v>
      </c>
      <c r="J40" s="4">
        <f t="shared" si="10"/>
        <v>500000</v>
      </c>
      <c r="K40" s="4">
        <v>1500000</v>
      </c>
      <c r="L40" s="9">
        <f t="shared" si="5"/>
        <v>0</v>
      </c>
      <c r="M40" s="9">
        <f t="shared" si="8"/>
        <v>675.99986000000001</v>
      </c>
      <c r="N40" s="9">
        <v>60</v>
      </c>
      <c r="O40" s="9">
        <v>60</v>
      </c>
      <c r="P40" s="9">
        <f t="shared" si="9"/>
        <v>148.71996920000001</v>
      </c>
      <c r="Q40" s="1">
        <f t="shared" si="6"/>
        <v>824.71982920000005</v>
      </c>
      <c r="R40" s="2">
        <f t="shared" si="7"/>
        <v>0</v>
      </c>
    </row>
    <row r="41" spans="1:18" x14ac:dyDescent="0.45">
      <c r="I41" s="17" t="s">
        <v>10</v>
      </c>
      <c r="J41" s="4">
        <f t="shared" si="10"/>
        <v>1500000</v>
      </c>
      <c r="K41" s="4">
        <v>2500000</v>
      </c>
      <c r="L41" s="9">
        <f t="shared" si="5"/>
        <v>0</v>
      </c>
      <c r="M41" s="9">
        <f t="shared" si="8"/>
        <v>315.99961999999999</v>
      </c>
      <c r="N41" s="9">
        <v>60</v>
      </c>
      <c r="O41" s="9">
        <v>60</v>
      </c>
      <c r="P41" s="9">
        <f t="shared" si="9"/>
        <v>69.5199164</v>
      </c>
      <c r="Q41" s="1">
        <f t="shared" si="6"/>
        <v>385.51953639999999</v>
      </c>
      <c r="R41" s="2">
        <f t="shared" si="7"/>
        <v>0</v>
      </c>
    </row>
    <row r="42" spans="1:18" x14ac:dyDescent="0.45">
      <c r="I42" s="17" t="s">
        <v>11</v>
      </c>
      <c r="J42" s="4">
        <f t="shared" si="10"/>
        <v>2500000</v>
      </c>
      <c r="K42" s="4">
        <v>5000000</v>
      </c>
      <c r="L42" s="9">
        <f t="shared" si="5"/>
        <v>0</v>
      </c>
      <c r="M42" s="9">
        <f t="shared" si="8"/>
        <v>565.99972000000002</v>
      </c>
      <c r="N42" s="9">
        <v>60</v>
      </c>
      <c r="O42" s="9">
        <v>60</v>
      </c>
      <c r="P42" s="9">
        <f t="shared" si="9"/>
        <v>124.5199384</v>
      </c>
      <c r="Q42" s="1">
        <f t="shared" si="6"/>
        <v>690.51965840000003</v>
      </c>
      <c r="R42" s="2">
        <f t="shared" si="7"/>
        <v>0</v>
      </c>
    </row>
    <row r="43" spans="1:18" x14ac:dyDescent="0.45">
      <c r="I43" s="13"/>
      <c r="J43" s="13"/>
      <c r="K43" s="13"/>
      <c r="L43" s="2"/>
      <c r="M43" s="2"/>
      <c r="N43" s="2"/>
      <c r="O43" s="2"/>
      <c r="P43" s="2"/>
      <c r="Q43" s="2"/>
      <c r="R43" s="2">
        <f>MAX(R31:R42)</f>
        <v>0</v>
      </c>
    </row>
    <row r="44" spans="1:18" x14ac:dyDescent="0.45">
      <c r="I44" s="17" t="s">
        <v>31</v>
      </c>
      <c r="J44" s="17"/>
      <c r="K44" s="17"/>
      <c r="L44" s="9"/>
      <c r="M44" s="9"/>
      <c r="N44" s="9"/>
      <c r="O44" s="9"/>
      <c r="P44" s="9"/>
      <c r="Q44" s="2"/>
    </row>
    <row r="45" spans="1:18" x14ac:dyDescent="0.45">
      <c r="I45" s="17" t="s">
        <v>23</v>
      </c>
      <c r="J45" s="16"/>
      <c r="K45" s="16"/>
      <c r="L45" s="17" t="s">
        <v>24</v>
      </c>
      <c r="M45" s="9" t="s">
        <v>12</v>
      </c>
      <c r="N45" s="9"/>
      <c r="O45" s="9"/>
      <c r="P45" s="9" t="s">
        <v>28</v>
      </c>
      <c r="Q45" s="1" t="s">
        <v>0</v>
      </c>
      <c r="R45" s="1"/>
    </row>
    <row r="46" spans="1:18" x14ac:dyDescent="0.45">
      <c r="I46" s="17" t="s">
        <v>1</v>
      </c>
      <c r="J46" s="4">
        <v>0</v>
      </c>
      <c r="K46" s="4">
        <v>1000</v>
      </c>
      <c r="L46" s="9">
        <f t="shared" ref="L46:L56" si="11">IF(AND($D$7&gt;J46,$D$7&lt;=K46),$D$7,0)</f>
        <v>0</v>
      </c>
      <c r="M46" s="9">
        <f>M18*1.1</f>
        <v>17.600000000000001</v>
      </c>
      <c r="N46" s="9">
        <v>60</v>
      </c>
      <c r="O46" s="9">
        <v>60</v>
      </c>
      <c r="P46" s="9">
        <f>M46*0.22</f>
        <v>3.8720000000000003</v>
      </c>
      <c r="Q46" s="1">
        <f>M46+P46</f>
        <v>21.472000000000001</v>
      </c>
      <c r="R46" s="2">
        <f t="shared" ref="R46:R56" si="12">IF(L46&gt;0,Q46,0)</f>
        <v>0</v>
      </c>
    </row>
    <row r="47" spans="1:18" x14ac:dyDescent="0.45">
      <c r="B47" s="1"/>
      <c r="I47" s="17" t="s">
        <v>2</v>
      </c>
      <c r="J47" s="4">
        <f>K46</f>
        <v>1000</v>
      </c>
      <c r="K47" s="4">
        <v>5000</v>
      </c>
      <c r="L47" s="9">
        <f t="shared" si="11"/>
        <v>0</v>
      </c>
      <c r="M47" s="9">
        <f>M19*1.1</f>
        <v>6.571400000000005</v>
      </c>
      <c r="N47" s="9">
        <v>60</v>
      </c>
      <c r="O47" s="9">
        <v>60</v>
      </c>
      <c r="P47" s="9">
        <f t="shared" ref="P47:P56" si="13">M47*0.22</f>
        <v>1.4457080000000011</v>
      </c>
      <c r="Q47" s="1">
        <f t="shared" ref="Q47:Q56" si="14">M47+P47</f>
        <v>8.0171080000000057</v>
      </c>
      <c r="R47" s="2">
        <f t="shared" si="12"/>
        <v>0</v>
      </c>
    </row>
    <row r="48" spans="1:18" x14ac:dyDescent="0.45">
      <c r="I48" s="17" t="s">
        <v>3</v>
      </c>
      <c r="J48" s="4">
        <f t="shared" ref="J48:J56" si="15">K47</f>
        <v>5000</v>
      </c>
      <c r="K48" s="4">
        <v>10000</v>
      </c>
      <c r="L48" s="9">
        <f t="shared" si="11"/>
        <v>0</v>
      </c>
      <c r="M48" s="9">
        <f t="shared" ref="M48:M51" si="16">M20*1.1</f>
        <v>17.54719472</v>
      </c>
      <c r="N48" s="9">
        <v>60</v>
      </c>
      <c r="O48" s="9">
        <v>60</v>
      </c>
      <c r="P48" s="9">
        <f t="shared" si="13"/>
        <v>3.8603828384000001</v>
      </c>
      <c r="Q48" s="1">
        <f t="shared" si="14"/>
        <v>21.4075775584</v>
      </c>
      <c r="R48" s="2">
        <f t="shared" si="12"/>
        <v>0</v>
      </c>
    </row>
    <row r="49" spans="1:19" x14ac:dyDescent="0.45">
      <c r="I49" s="17" t="s">
        <v>4</v>
      </c>
      <c r="J49" s="4">
        <f t="shared" si="15"/>
        <v>10000</v>
      </c>
      <c r="K49" s="4">
        <v>25000</v>
      </c>
      <c r="L49" s="9">
        <f t="shared" si="11"/>
        <v>0</v>
      </c>
      <c r="M49" s="9">
        <f t="shared" si="16"/>
        <v>117.31397304000002</v>
      </c>
      <c r="N49" s="9">
        <v>60</v>
      </c>
      <c r="O49" s="9">
        <v>60</v>
      </c>
      <c r="P49" s="9">
        <f t="shared" si="13"/>
        <v>25.809074068800005</v>
      </c>
      <c r="Q49" s="1">
        <f t="shared" si="14"/>
        <v>143.12304710880002</v>
      </c>
      <c r="R49" s="2">
        <f t="shared" si="12"/>
        <v>0</v>
      </c>
    </row>
    <row r="50" spans="1:19" x14ac:dyDescent="0.45">
      <c r="I50" s="17" t="s">
        <v>5</v>
      </c>
      <c r="J50" s="4">
        <f t="shared" si="15"/>
        <v>25000</v>
      </c>
      <c r="K50" s="4">
        <v>50000</v>
      </c>
      <c r="L50" s="9">
        <f t="shared" si="11"/>
        <v>0</v>
      </c>
      <c r="M50" s="9">
        <f t="shared" si="16"/>
        <v>105.58310400000005</v>
      </c>
      <c r="N50" s="9">
        <v>60</v>
      </c>
      <c r="O50" s="9">
        <v>60</v>
      </c>
      <c r="P50" s="9">
        <f t="shared" si="13"/>
        <v>23.228282880000013</v>
      </c>
      <c r="Q50" s="1">
        <f t="shared" si="14"/>
        <v>128.81138688000007</v>
      </c>
      <c r="R50" s="2">
        <f t="shared" si="12"/>
        <v>0</v>
      </c>
    </row>
    <row r="51" spans="1:19" x14ac:dyDescent="0.45">
      <c r="I51" s="17" t="s">
        <v>6</v>
      </c>
      <c r="J51" s="4">
        <f t="shared" si="15"/>
        <v>50000</v>
      </c>
      <c r="K51" s="7">
        <v>150000</v>
      </c>
      <c r="L51" s="9">
        <f t="shared" si="11"/>
        <v>0</v>
      </c>
      <c r="M51" s="9">
        <f t="shared" si="16"/>
        <v>774.39736000000028</v>
      </c>
      <c r="N51" s="9">
        <v>60</v>
      </c>
      <c r="O51" s="9">
        <v>60</v>
      </c>
      <c r="P51" s="9">
        <f t="shared" si="13"/>
        <v>170.36741920000006</v>
      </c>
      <c r="Q51" s="1">
        <f t="shared" si="14"/>
        <v>944.76477920000036</v>
      </c>
      <c r="R51" s="2">
        <f t="shared" si="12"/>
        <v>0</v>
      </c>
    </row>
    <row r="52" spans="1:19" x14ac:dyDescent="0.45">
      <c r="I52" s="17" t="s">
        <v>7</v>
      </c>
      <c r="J52" s="4">
        <f t="shared" si="15"/>
        <v>150000</v>
      </c>
      <c r="K52" s="4">
        <v>250000</v>
      </c>
      <c r="L52" s="9">
        <f t="shared" si="11"/>
        <v>0</v>
      </c>
      <c r="M52" s="9">
        <f>M24*1.1</f>
        <v>-149.6088</v>
      </c>
      <c r="N52" s="9">
        <v>60</v>
      </c>
      <c r="O52" s="9">
        <v>60</v>
      </c>
      <c r="P52" s="9">
        <f t="shared" si="13"/>
        <v>-32.913936</v>
      </c>
      <c r="Q52" s="1">
        <f t="shared" si="14"/>
        <v>-182.52273600000001</v>
      </c>
      <c r="R52" s="2">
        <f t="shared" si="12"/>
        <v>0</v>
      </c>
    </row>
    <row r="53" spans="1:19" x14ac:dyDescent="0.45">
      <c r="I53" s="17" t="s">
        <v>8</v>
      </c>
      <c r="J53" s="4">
        <f t="shared" si="15"/>
        <v>250000</v>
      </c>
      <c r="K53" s="4">
        <v>500000</v>
      </c>
      <c r="L53" s="9">
        <f t="shared" si="11"/>
        <v>0</v>
      </c>
      <c r="M53" s="9">
        <f>M25*1.1</f>
        <v>818.39507200000014</v>
      </c>
      <c r="N53" s="9">
        <v>60</v>
      </c>
      <c r="O53" s="9">
        <v>60</v>
      </c>
      <c r="P53" s="9">
        <f t="shared" si="13"/>
        <v>180.04691584000003</v>
      </c>
      <c r="Q53" s="1">
        <f t="shared" si="14"/>
        <v>998.44198784000014</v>
      </c>
      <c r="R53" s="2">
        <f t="shared" si="12"/>
        <v>0</v>
      </c>
    </row>
    <row r="54" spans="1:19" x14ac:dyDescent="0.45">
      <c r="I54" s="17" t="s">
        <v>9</v>
      </c>
      <c r="J54" s="4">
        <f t="shared" si="15"/>
        <v>500000</v>
      </c>
      <c r="K54" s="4">
        <v>1500000</v>
      </c>
      <c r="L54" s="9">
        <f t="shared" si="11"/>
        <v>0</v>
      </c>
      <c r="M54" s="9">
        <f t="shared" ref="M54:M56" si="17">M26*1.1</f>
        <v>2974.3993840000003</v>
      </c>
      <c r="N54" s="9">
        <v>60</v>
      </c>
      <c r="O54" s="9">
        <v>60</v>
      </c>
      <c r="P54" s="9">
        <f t="shared" si="13"/>
        <v>654.36786448000009</v>
      </c>
      <c r="Q54" s="1">
        <f t="shared" si="14"/>
        <v>3628.7672484800005</v>
      </c>
      <c r="R54" s="2">
        <f t="shared" si="12"/>
        <v>0</v>
      </c>
    </row>
    <row r="55" spans="1:19" x14ac:dyDescent="0.45">
      <c r="I55" s="17" t="s">
        <v>10</v>
      </c>
      <c r="J55" s="4">
        <f t="shared" si="15"/>
        <v>1500000</v>
      </c>
      <c r="K55" s="4">
        <v>2500000</v>
      </c>
      <c r="L55" s="9">
        <f t="shared" si="11"/>
        <v>0</v>
      </c>
      <c r="M55" s="9">
        <f t="shared" si="17"/>
        <v>1390.398328</v>
      </c>
      <c r="N55" s="9">
        <v>60</v>
      </c>
      <c r="O55" s="9">
        <v>60</v>
      </c>
      <c r="P55" s="9">
        <f t="shared" si="13"/>
        <v>305.88763216000001</v>
      </c>
      <c r="Q55" s="1">
        <f t="shared" si="14"/>
        <v>1696.2859601600001</v>
      </c>
      <c r="R55" s="2">
        <f t="shared" si="12"/>
        <v>0</v>
      </c>
    </row>
    <row r="56" spans="1:19" x14ac:dyDescent="0.45">
      <c r="I56" s="17" t="s">
        <v>11</v>
      </c>
      <c r="J56" s="4">
        <f t="shared" si="15"/>
        <v>2500000</v>
      </c>
      <c r="K56" s="4">
        <v>5000000</v>
      </c>
      <c r="L56" s="9">
        <f t="shared" si="11"/>
        <v>0</v>
      </c>
      <c r="M56" s="9">
        <f t="shared" si="17"/>
        <v>2490.3987680000005</v>
      </c>
      <c r="N56" s="9">
        <v>60</v>
      </c>
      <c r="O56" s="9">
        <v>60</v>
      </c>
      <c r="P56" s="9">
        <f t="shared" si="13"/>
        <v>547.88772896000012</v>
      </c>
      <c r="Q56" s="1">
        <f t="shared" si="14"/>
        <v>3038.2864969600005</v>
      </c>
      <c r="R56" s="2">
        <f t="shared" si="12"/>
        <v>0</v>
      </c>
    </row>
    <row r="57" spans="1:19" x14ac:dyDescent="0.45">
      <c r="I57" s="13"/>
      <c r="J57" s="13"/>
      <c r="K57" s="13"/>
      <c r="L57" s="13"/>
      <c r="M57" s="13"/>
      <c r="N57" s="13"/>
      <c r="O57" s="13"/>
      <c r="P57" s="13"/>
      <c r="Q57" s="2"/>
      <c r="R57" s="2">
        <f>MAX(R45:R56)</f>
        <v>0</v>
      </c>
    </row>
    <row r="58" spans="1:19" ht="14.65" thickBot="1" x14ac:dyDescent="0.5">
      <c r="H58" s="22"/>
      <c r="I58" s="21"/>
      <c r="J58" s="21"/>
      <c r="K58" s="21"/>
      <c r="L58" s="21"/>
      <c r="M58" s="21"/>
      <c r="N58" s="21"/>
      <c r="O58" s="21"/>
      <c r="P58" s="21"/>
      <c r="Q58" s="23"/>
      <c r="R58" s="23"/>
      <c r="S58" s="22"/>
    </row>
    <row r="59" spans="1:19" x14ac:dyDescent="0.45">
      <c r="I59" s="13"/>
      <c r="J59" s="13"/>
      <c r="K59" s="13"/>
      <c r="L59" s="13"/>
      <c r="M59" s="13"/>
      <c r="N59" s="13"/>
      <c r="O59" s="13"/>
      <c r="P59" s="13"/>
      <c r="Q59" s="2"/>
    </row>
    <row r="60" spans="1:19" s="13" customFormat="1" x14ac:dyDescent="0.45">
      <c r="H60" s="11"/>
      <c r="J60" s="11" t="s">
        <v>34</v>
      </c>
      <c r="K60" s="11" t="s">
        <v>30</v>
      </c>
      <c r="L60" s="11" t="s">
        <v>24</v>
      </c>
      <c r="M60" s="17" t="s">
        <v>12</v>
      </c>
      <c r="N60" s="17" t="s">
        <v>13</v>
      </c>
      <c r="O60" s="17" t="s">
        <v>0</v>
      </c>
    </row>
    <row r="61" spans="1:19" s="13" customFormat="1" x14ac:dyDescent="0.45">
      <c r="A61" s="16"/>
      <c r="H61" s="14">
        <v>2091</v>
      </c>
      <c r="I61" s="13" t="s">
        <v>14</v>
      </c>
      <c r="J61" s="55">
        <v>0</v>
      </c>
      <c r="K61" s="54">
        <v>1000</v>
      </c>
      <c r="L61" s="9">
        <f>IF(AND($D$22&gt;J61,$D$22&lt;=K61),$D$22,0)</f>
        <v>0</v>
      </c>
      <c r="M61" s="9">
        <v>40</v>
      </c>
      <c r="N61" s="9">
        <v>8.8000000000000007</v>
      </c>
      <c r="O61" s="9">
        <v>48.8</v>
      </c>
      <c r="R61" s="3">
        <f>IF(L61&gt;0,O61,0)</f>
        <v>0</v>
      </c>
    </row>
    <row r="62" spans="1:19" s="13" customFormat="1" x14ac:dyDescent="0.45">
      <c r="A62" s="16"/>
      <c r="H62" s="16">
        <v>2092</v>
      </c>
      <c r="I62" s="13" t="s">
        <v>15</v>
      </c>
      <c r="J62" s="54">
        <v>1000.01</v>
      </c>
      <c r="K62" s="54">
        <v>50000</v>
      </c>
      <c r="L62" s="9">
        <f>IF(AND($D$22&gt;J62,$D$22&lt;=K62),$D$22,0)</f>
        <v>0</v>
      </c>
      <c r="M62" s="9">
        <v>75</v>
      </c>
      <c r="N62" s="9">
        <v>16.5</v>
      </c>
      <c r="O62" s="9">
        <v>91.5</v>
      </c>
      <c r="R62" s="3">
        <f>IF(L62&gt;0,O62,0)</f>
        <v>0</v>
      </c>
    </row>
    <row r="63" spans="1:19" s="13" customFormat="1" x14ac:dyDescent="0.45">
      <c r="A63" s="16"/>
      <c r="H63" s="16">
        <v>2093</v>
      </c>
      <c r="I63" s="13" t="s">
        <v>16</v>
      </c>
      <c r="J63" s="54">
        <v>50000.01</v>
      </c>
      <c r="K63" s="54">
        <v>5000000000000</v>
      </c>
      <c r="L63" s="9">
        <f>IF(AND($D$22&gt;J63,$D$22&lt;=K63),$D$22,0)</f>
        <v>0</v>
      </c>
      <c r="M63" s="9">
        <v>110</v>
      </c>
      <c r="N63" s="9">
        <v>24.2</v>
      </c>
      <c r="O63" s="9">
        <v>134.19999999999999</v>
      </c>
      <c r="R63" s="3">
        <f>IF(L63&gt;0,O63,0)</f>
        <v>0</v>
      </c>
    </row>
    <row r="64" spans="1:19" s="13" customFormat="1" x14ac:dyDescent="0.45">
      <c r="H64" s="16"/>
      <c r="J64" s="54"/>
      <c r="K64" s="54"/>
      <c r="L64" s="11"/>
      <c r="M64" s="9"/>
      <c r="N64" s="9"/>
      <c r="O64" s="9"/>
      <c r="Q64" s="20"/>
      <c r="R64" s="3">
        <f>MAX(R61:R63)</f>
        <v>0</v>
      </c>
    </row>
    <row r="65" spans="1:18" s="13" customFormat="1" x14ac:dyDescent="0.45">
      <c r="A65" s="16"/>
      <c r="H65" s="16">
        <v>2094</v>
      </c>
      <c r="I65" s="13" t="s">
        <v>17</v>
      </c>
      <c r="J65" s="55">
        <v>0</v>
      </c>
      <c r="K65" s="54">
        <v>1000</v>
      </c>
      <c r="L65" s="9">
        <f>IF(AND($D$22&gt;J65,$D$22&lt;=K65),$D$22,0)</f>
        <v>0</v>
      </c>
      <c r="M65" s="9">
        <v>60</v>
      </c>
      <c r="N65" s="9">
        <v>13.2</v>
      </c>
      <c r="O65" s="9">
        <v>73.2</v>
      </c>
      <c r="Q65" s="20"/>
      <c r="R65" s="3">
        <f>IF(L65&gt;0,O65,0)</f>
        <v>0</v>
      </c>
    </row>
    <row r="66" spans="1:18" s="13" customFormat="1" x14ac:dyDescent="0.45">
      <c r="A66" s="16"/>
      <c r="H66" s="16">
        <v>2095</v>
      </c>
      <c r="I66" s="13" t="s">
        <v>18</v>
      </c>
      <c r="J66" s="54">
        <v>1000.01</v>
      </c>
      <c r="K66" s="54">
        <v>50000</v>
      </c>
      <c r="L66" s="9">
        <f>IF(AND($D$22&gt;J66,$D$22&lt;=K66),$D$22,0)</f>
        <v>0</v>
      </c>
      <c r="M66" s="9">
        <v>120</v>
      </c>
      <c r="N66" s="9">
        <v>26.4</v>
      </c>
      <c r="O66" s="9">
        <v>146.4</v>
      </c>
      <c r="Q66" s="20"/>
      <c r="R66" s="3">
        <f>IF(L66&gt;0,O66,0)</f>
        <v>0</v>
      </c>
    </row>
    <row r="67" spans="1:18" s="13" customFormat="1" x14ac:dyDescent="0.45">
      <c r="A67" s="16"/>
      <c r="H67" s="16">
        <v>2096</v>
      </c>
      <c r="I67" s="13" t="s">
        <v>19</v>
      </c>
      <c r="J67" s="54">
        <v>50000.01</v>
      </c>
      <c r="K67" s="54">
        <v>5000000000000</v>
      </c>
      <c r="L67" s="9">
        <f>IF(AND($D$22&gt;J67,$D$22&lt;=K67),$D$22,0)</f>
        <v>0</v>
      </c>
      <c r="M67" s="9">
        <v>170</v>
      </c>
      <c r="N67" s="9">
        <v>37.4</v>
      </c>
      <c r="O67" s="9">
        <v>207.4</v>
      </c>
      <c r="R67" s="3">
        <f>IF(L67&gt;0,O67,0)</f>
        <v>0</v>
      </c>
    </row>
    <row r="68" spans="1:18" s="13" customFormat="1" x14ac:dyDescent="0.45">
      <c r="H68" s="16"/>
      <c r="L68" s="2"/>
      <c r="M68" s="2"/>
      <c r="N68" s="1"/>
      <c r="R68" s="3">
        <f>MAX(R65:R67)</f>
        <v>0</v>
      </c>
    </row>
    <row r="69" spans="1:18" s="13" customFormat="1" x14ac:dyDescent="0.45">
      <c r="A69" s="16"/>
      <c r="H69" s="16">
        <v>2099</v>
      </c>
      <c r="I69" s="13" t="s">
        <v>20</v>
      </c>
      <c r="L69" s="9">
        <v>15</v>
      </c>
      <c r="M69" s="9">
        <f>L69*0.22</f>
        <v>3.3</v>
      </c>
      <c r="N69" s="9">
        <f>L69+M69</f>
        <v>18.3</v>
      </c>
    </row>
    <row r="70" spans="1:18" s="13" customFormat="1" x14ac:dyDescent="0.45">
      <c r="A70" s="16"/>
      <c r="H70" s="16">
        <v>2099</v>
      </c>
      <c r="I70" s="13" t="s">
        <v>21</v>
      </c>
      <c r="L70" s="9">
        <v>20</v>
      </c>
      <c r="M70" s="9">
        <f>L70*0.22</f>
        <v>4.4000000000000004</v>
      </c>
      <c r="N70" s="9">
        <f>L70+M70</f>
        <v>24.4</v>
      </c>
    </row>
    <row r="71" spans="1:18" s="13" customFormat="1" x14ac:dyDescent="0.45">
      <c r="A71" s="16"/>
      <c r="M71" s="19"/>
      <c r="N71" s="19"/>
      <c r="O71" s="19"/>
      <c r="P71" s="19"/>
    </row>
    <row r="72" spans="1:18" s="13" customFormat="1" x14ac:dyDescent="0.45"/>
    <row r="73" spans="1:18" s="13" customFormat="1" x14ac:dyDescent="0.45">
      <c r="H73" s="11"/>
      <c r="I73" s="17" t="s">
        <v>22</v>
      </c>
      <c r="J73" s="17"/>
      <c r="K73" s="17"/>
      <c r="L73" s="17"/>
      <c r="M73" s="17"/>
      <c r="N73" s="17"/>
      <c r="O73" s="17"/>
      <c r="P73" s="17"/>
    </row>
    <row r="74" spans="1:18" s="13" customFormat="1" x14ac:dyDescent="0.45">
      <c r="H74" s="11"/>
      <c r="I74" s="17" t="s">
        <v>25</v>
      </c>
      <c r="J74" s="16" t="s">
        <v>29</v>
      </c>
      <c r="K74" s="16" t="s">
        <v>30</v>
      </c>
      <c r="L74" s="17" t="s">
        <v>24</v>
      </c>
      <c r="M74" s="17" t="s">
        <v>12</v>
      </c>
      <c r="N74" s="17"/>
      <c r="O74" s="17"/>
      <c r="P74" s="17" t="s">
        <v>26</v>
      </c>
      <c r="Q74" s="16" t="s">
        <v>0</v>
      </c>
    </row>
    <row r="75" spans="1:18" s="13" customFormat="1" x14ac:dyDescent="0.45">
      <c r="A75" s="16"/>
      <c r="H75" s="14"/>
      <c r="I75" s="17" t="s">
        <v>1</v>
      </c>
      <c r="J75" s="4">
        <v>0</v>
      </c>
      <c r="K75" s="4">
        <v>1000</v>
      </c>
      <c r="L75" s="9">
        <f t="shared" ref="L75:L85" si="18">IF(AND($D$22&gt;J75,$D$22&lt;=K75),$D$22,0)</f>
        <v>0</v>
      </c>
      <c r="M75" s="9">
        <f>((((L75-0)*0.08)+80)-60)</f>
        <v>20</v>
      </c>
      <c r="N75" s="9"/>
      <c r="O75" s="9"/>
      <c r="P75" s="9">
        <f t="shared" ref="P75:P85" si="19">Q75-M75</f>
        <v>4.3999999999999986</v>
      </c>
      <c r="Q75" s="2">
        <f t="shared" ref="Q75:Q85" si="20">M75*1.22</f>
        <v>24.4</v>
      </c>
      <c r="R75" s="2">
        <f t="shared" ref="R75:R85" si="21">IF(L75&gt;0,Q75,0)</f>
        <v>0</v>
      </c>
    </row>
    <row r="76" spans="1:18" s="13" customFormat="1" x14ac:dyDescent="0.45">
      <c r="A76" s="16"/>
      <c r="H76" s="14"/>
      <c r="I76" s="17" t="s">
        <v>2</v>
      </c>
      <c r="J76" s="4">
        <f>K75</f>
        <v>1000</v>
      </c>
      <c r="K76" s="4">
        <v>5000</v>
      </c>
      <c r="L76" s="9">
        <f t="shared" si="18"/>
        <v>0</v>
      </c>
      <c r="M76" s="9">
        <f>(((L76-1001)*0.0325)+160)-120</f>
        <v>7.4675000000000011</v>
      </c>
      <c r="N76" s="9"/>
      <c r="O76" s="9"/>
      <c r="P76" s="9">
        <f t="shared" si="19"/>
        <v>1.6428499999999993</v>
      </c>
      <c r="Q76" s="2">
        <f t="shared" si="20"/>
        <v>9.1103500000000004</v>
      </c>
      <c r="R76" s="2">
        <f t="shared" si="21"/>
        <v>0</v>
      </c>
    </row>
    <row r="77" spans="1:18" s="13" customFormat="1" x14ac:dyDescent="0.45">
      <c r="A77" s="16"/>
      <c r="B77" s="2"/>
      <c r="H77" s="14"/>
      <c r="I77" s="17" t="s">
        <v>3</v>
      </c>
      <c r="J77" s="4">
        <f t="shared" ref="J77:J85" si="22">K76</f>
        <v>5000</v>
      </c>
      <c r="K77" s="4">
        <v>10000</v>
      </c>
      <c r="L77" s="9">
        <f t="shared" si="18"/>
        <v>0</v>
      </c>
      <c r="M77" s="9">
        <f>(((L77-5001)*0.030006)+290)-120</f>
        <v>19.939993999999984</v>
      </c>
      <c r="N77" s="9"/>
      <c r="O77" s="9"/>
      <c r="P77" s="9">
        <f t="shared" si="19"/>
        <v>4.3867986799999947</v>
      </c>
      <c r="Q77" s="2">
        <f t="shared" si="20"/>
        <v>24.326792679999979</v>
      </c>
      <c r="R77" s="2">
        <f t="shared" si="21"/>
        <v>0</v>
      </c>
    </row>
    <row r="78" spans="1:18" s="13" customFormat="1" x14ac:dyDescent="0.45">
      <c r="B78" s="2"/>
      <c r="I78" s="17" t="s">
        <v>4</v>
      </c>
      <c r="J78" s="4">
        <f t="shared" si="22"/>
        <v>10000</v>
      </c>
      <c r="K78" s="4">
        <v>25000</v>
      </c>
      <c r="L78" s="9">
        <f t="shared" si="18"/>
        <v>0</v>
      </c>
      <c r="M78" s="9">
        <f>(((L78-10001)*0.018667)+440)-120</f>
        <v>133.31133299999999</v>
      </c>
      <c r="N78" s="9"/>
      <c r="O78" s="9"/>
      <c r="P78" s="9">
        <f t="shared" si="19"/>
        <v>29.328493259999988</v>
      </c>
      <c r="Q78" s="2">
        <f t="shared" si="20"/>
        <v>162.63982625999998</v>
      </c>
      <c r="R78" s="2">
        <f t="shared" si="21"/>
        <v>0</v>
      </c>
    </row>
    <row r="79" spans="1:18" s="13" customFormat="1" x14ac:dyDescent="0.45">
      <c r="B79" s="2"/>
      <c r="H79" s="11"/>
      <c r="I79" s="17" t="s">
        <v>5</v>
      </c>
      <c r="J79" s="4">
        <f t="shared" si="22"/>
        <v>25000</v>
      </c>
      <c r="K79" s="4">
        <v>50000</v>
      </c>
      <c r="L79" s="9">
        <f t="shared" si="18"/>
        <v>0</v>
      </c>
      <c r="M79" s="9">
        <f>(((L79-25001)*0.0192)+720)-120</f>
        <v>119.98080000000004</v>
      </c>
      <c r="N79" s="9"/>
      <c r="O79" s="9"/>
      <c r="P79" s="9">
        <f t="shared" si="19"/>
        <v>26.395776000000012</v>
      </c>
      <c r="Q79" s="2">
        <f t="shared" si="20"/>
        <v>146.37657600000006</v>
      </c>
      <c r="R79" s="2">
        <f t="shared" si="21"/>
        <v>0</v>
      </c>
    </row>
    <row r="80" spans="1:18" s="13" customFormat="1" x14ac:dyDescent="0.45">
      <c r="B80" s="2"/>
      <c r="H80" s="5"/>
      <c r="I80" s="17" t="s">
        <v>6</v>
      </c>
      <c r="J80" s="4">
        <f t="shared" si="22"/>
        <v>50000</v>
      </c>
      <c r="K80" s="7">
        <v>150000</v>
      </c>
      <c r="L80" s="9">
        <f t="shared" si="18"/>
        <v>0</v>
      </c>
      <c r="M80" s="9">
        <f>(((L80-50001)*0.003)+1200)-170</f>
        <v>879.99700000000007</v>
      </c>
      <c r="N80" s="9"/>
      <c r="O80" s="9"/>
      <c r="P80" s="9">
        <f t="shared" si="19"/>
        <v>193.59933999999998</v>
      </c>
      <c r="Q80" s="2">
        <f t="shared" si="20"/>
        <v>1073.5963400000001</v>
      </c>
      <c r="R80" s="2">
        <f t="shared" si="21"/>
        <v>0</v>
      </c>
    </row>
    <row r="81" spans="2:18" s="13" customFormat="1" x14ac:dyDescent="0.45">
      <c r="B81" s="2"/>
      <c r="H81" s="11"/>
      <c r="I81" s="17" t="s">
        <v>7</v>
      </c>
      <c r="J81" s="4">
        <f t="shared" si="22"/>
        <v>150000</v>
      </c>
      <c r="K81" s="4">
        <v>250000</v>
      </c>
      <c r="L81" s="9">
        <f t="shared" si="18"/>
        <v>0</v>
      </c>
      <c r="M81" s="9">
        <f>(((L81-150001)*0.01)+1500)-170</f>
        <v>-170.01</v>
      </c>
      <c r="N81" s="9"/>
      <c r="O81" s="9"/>
      <c r="P81" s="9">
        <f t="shared" si="19"/>
        <v>-37.402199999999993</v>
      </c>
      <c r="Q81" s="2">
        <f t="shared" si="20"/>
        <v>-207.41219999999998</v>
      </c>
      <c r="R81" s="2">
        <f t="shared" si="21"/>
        <v>0</v>
      </c>
    </row>
    <row r="82" spans="2:18" s="13" customFormat="1" x14ac:dyDescent="0.45">
      <c r="B82" s="2"/>
      <c r="H82" s="11"/>
      <c r="I82" s="17" t="s">
        <v>8</v>
      </c>
      <c r="J82" s="4">
        <f t="shared" si="22"/>
        <v>250000</v>
      </c>
      <c r="K82" s="4">
        <v>500000</v>
      </c>
      <c r="L82" s="9">
        <f t="shared" si="18"/>
        <v>0</v>
      </c>
      <c r="M82" s="9">
        <f>(((L82-250001)*0.0056)+2500)-170</f>
        <v>929.99440000000004</v>
      </c>
      <c r="N82" s="9"/>
      <c r="O82" s="9"/>
      <c r="P82" s="9">
        <f t="shared" si="19"/>
        <v>204.59876800000006</v>
      </c>
      <c r="Q82" s="2">
        <f t="shared" si="20"/>
        <v>1134.5931680000001</v>
      </c>
      <c r="R82" s="2">
        <f t="shared" si="21"/>
        <v>0</v>
      </c>
    </row>
    <row r="83" spans="2:18" s="13" customFormat="1" x14ac:dyDescent="0.45">
      <c r="B83" s="2"/>
      <c r="H83" s="11"/>
      <c r="I83" s="17" t="s">
        <v>9</v>
      </c>
      <c r="J83" s="4">
        <f t="shared" si="22"/>
        <v>500000</v>
      </c>
      <c r="K83" s="4">
        <v>1500000</v>
      </c>
      <c r="L83" s="9">
        <f t="shared" si="18"/>
        <v>0</v>
      </c>
      <c r="M83" s="9">
        <f>(((L83-500001)*0.0007)+3900)-170</f>
        <v>3379.9992999999999</v>
      </c>
      <c r="N83" s="9"/>
      <c r="O83" s="9"/>
      <c r="P83" s="9">
        <f t="shared" si="19"/>
        <v>743.59984599999962</v>
      </c>
      <c r="Q83" s="2">
        <f t="shared" si="20"/>
        <v>4123.5991459999996</v>
      </c>
      <c r="R83" s="2">
        <f t="shared" si="21"/>
        <v>0</v>
      </c>
    </row>
    <row r="84" spans="2:18" s="13" customFormat="1" x14ac:dyDescent="0.45">
      <c r="B84" s="2"/>
      <c r="H84" s="11"/>
      <c r="I84" s="17" t="s">
        <v>10</v>
      </c>
      <c r="J84" s="4">
        <f t="shared" si="22"/>
        <v>1500000</v>
      </c>
      <c r="K84" s="4">
        <v>2500000</v>
      </c>
      <c r="L84" s="9">
        <f t="shared" si="18"/>
        <v>0</v>
      </c>
      <c r="M84" s="9">
        <f>(((L84-1500001)*0.0019)+4600)-170</f>
        <v>1579.9980999999998</v>
      </c>
      <c r="N84" s="9"/>
      <c r="O84" s="9"/>
      <c r="P84" s="9">
        <f t="shared" si="19"/>
        <v>347.59958199999983</v>
      </c>
      <c r="Q84" s="2">
        <f t="shared" si="20"/>
        <v>1927.5976819999996</v>
      </c>
      <c r="R84" s="2">
        <f t="shared" si="21"/>
        <v>0</v>
      </c>
    </row>
    <row r="85" spans="2:18" s="13" customFormat="1" x14ac:dyDescent="0.45">
      <c r="B85" s="2"/>
      <c r="H85" s="11"/>
      <c r="I85" s="17" t="s">
        <v>11</v>
      </c>
      <c r="J85" s="4">
        <f t="shared" si="22"/>
        <v>2500000</v>
      </c>
      <c r="K85" s="4">
        <v>5000000</v>
      </c>
      <c r="L85" s="9">
        <f t="shared" si="18"/>
        <v>0</v>
      </c>
      <c r="M85" s="9">
        <f>(((L85-2500001)*0.0014)+6500)-170</f>
        <v>2829.9985999999999</v>
      </c>
      <c r="N85" s="9"/>
      <c r="O85" s="9"/>
      <c r="P85" s="9">
        <f t="shared" si="19"/>
        <v>622.59969199999978</v>
      </c>
      <c r="Q85" s="2">
        <f t="shared" si="20"/>
        <v>3452.5982919999997</v>
      </c>
      <c r="R85" s="2">
        <f t="shared" si="21"/>
        <v>0</v>
      </c>
    </row>
    <row r="86" spans="2:18" s="13" customFormat="1" x14ac:dyDescent="0.45">
      <c r="B86" s="2"/>
      <c r="H86" s="11"/>
      <c r="I86" s="9"/>
      <c r="J86" s="1"/>
      <c r="K86" s="1"/>
      <c r="L86" s="9"/>
      <c r="M86" s="18"/>
      <c r="N86" s="18"/>
      <c r="O86" s="18"/>
      <c r="P86" s="17"/>
      <c r="R86" s="2">
        <f>MAX(R74:R85)</f>
        <v>0</v>
      </c>
    </row>
    <row r="87" spans="2:18" s="13" customFormat="1" x14ac:dyDescent="0.45">
      <c r="B87" s="2"/>
      <c r="H87" s="11"/>
      <c r="I87" s="17" t="s">
        <v>27</v>
      </c>
      <c r="J87" s="17"/>
      <c r="K87" s="17"/>
      <c r="L87" s="9"/>
      <c r="M87" s="17"/>
      <c r="N87" s="17"/>
      <c r="O87" s="17"/>
      <c r="P87" s="17"/>
    </row>
    <row r="88" spans="2:18" s="13" customFormat="1" x14ac:dyDescent="0.45">
      <c r="B88" s="2"/>
      <c r="H88" s="11"/>
      <c r="I88" s="17" t="s">
        <v>23</v>
      </c>
      <c r="J88" s="16"/>
      <c r="K88" s="16"/>
      <c r="L88" s="17" t="s">
        <v>24</v>
      </c>
      <c r="M88" s="17" t="s">
        <v>12</v>
      </c>
      <c r="N88" s="17"/>
      <c r="O88" s="17"/>
      <c r="P88" s="17" t="s">
        <v>28</v>
      </c>
      <c r="Q88" s="16" t="s">
        <v>0</v>
      </c>
    </row>
    <row r="89" spans="2:18" s="13" customFormat="1" x14ac:dyDescent="0.45">
      <c r="H89" s="11"/>
      <c r="I89" s="17" t="s">
        <v>1</v>
      </c>
      <c r="J89" s="4">
        <v>0</v>
      </c>
      <c r="K89" s="4">
        <v>1000</v>
      </c>
      <c r="L89" s="9">
        <f t="shared" ref="L89:L99" si="23">IF(AND($D$22&gt;J89,$D$22&lt;=K89),$D$22,0)</f>
        <v>0</v>
      </c>
      <c r="M89" s="9">
        <f>M75*0.25</f>
        <v>5</v>
      </c>
      <c r="N89" s="9">
        <v>60</v>
      </c>
      <c r="O89" s="9">
        <v>60</v>
      </c>
      <c r="P89" s="9">
        <f>M89*0.22</f>
        <v>1.1000000000000001</v>
      </c>
      <c r="Q89" s="1">
        <f t="shared" ref="Q89:Q99" si="24">M89+P89</f>
        <v>6.1</v>
      </c>
      <c r="R89" s="2">
        <f t="shared" ref="R89:R99" si="25">IF(L89&gt;0,Q89,0)</f>
        <v>0</v>
      </c>
    </row>
    <row r="90" spans="2:18" s="13" customFormat="1" x14ac:dyDescent="0.45">
      <c r="H90" s="11"/>
      <c r="I90" s="17" t="s">
        <v>2</v>
      </c>
      <c r="J90" s="4">
        <f>K89</f>
        <v>1000</v>
      </c>
      <c r="K90" s="4">
        <v>5000</v>
      </c>
      <c r="L90" s="9">
        <f t="shared" si="23"/>
        <v>0</v>
      </c>
      <c r="M90" s="9">
        <f t="shared" ref="M90:M99" si="26">M76*0.25</f>
        <v>1.8668750000000003</v>
      </c>
      <c r="N90" s="9">
        <v>60</v>
      </c>
      <c r="O90" s="9">
        <v>60</v>
      </c>
      <c r="P90" s="9">
        <f t="shared" ref="P90:P99" si="27">M90*0.22</f>
        <v>0.41071250000000009</v>
      </c>
      <c r="Q90" s="1">
        <f t="shared" si="24"/>
        <v>2.2775875000000005</v>
      </c>
      <c r="R90" s="2">
        <f t="shared" si="25"/>
        <v>0</v>
      </c>
    </row>
    <row r="91" spans="2:18" s="13" customFormat="1" x14ac:dyDescent="0.45">
      <c r="B91" s="2"/>
      <c r="H91" s="11"/>
      <c r="I91" s="17" t="s">
        <v>3</v>
      </c>
      <c r="J91" s="4">
        <f t="shared" ref="J91:J99" si="28">K90</f>
        <v>5000</v>
      </c>
      <c r="K91" s="4">
        <v>10000</v>
      </c>
      <c r="L91" s="9">
        <f t="shared" si="23"/>
        <v>0</v>
      </c>
      <c r="M91" s="9">
        <f t="shared" si="26"/>
        <v>4.9849984999999961</v>
      </c>
      <c r="N91" s="9">
        <v>60</v>
      </c>
      <c r="O91" s="9">
        <v>60</v>
      </c>
      <c r="P91" s="9">
        <f t="shared" si="27"/>
        <v>1.0966996699999991</v>
      </c>
      <c r="Q91" s="1">
        <f t="shared" si="24"/>
        <v>6.0816981699999957</v>
      </c>
      <c r="R91" s="2">
        <f t="shared" si="25"/>
        <v>0</v>
      </c>
    </row>
    <row r="92" spans="2:18" s="13" customFormat="1" x14ac:dyDescent="0.45">
      <c r="B92" s="2"/>
      <c r="H92" s="11"/>
      <c r="I92" s="17" t="s">
        <v>4</v>
      </c>
      <c r="J92" s="4">
        <f t="shared" si="28"/>
        <v>10000</v>
      </c>
      <c r="K92" s="4">
        <v>25000</v>
      </c>
      <c r="L92" s="9">
        <f t="shared" si="23"/>
        <v>0</v>
      </c>
      <c r="M92" s="9">
        <f t="shared" si="26"/>
        <v>33.327833249999998</v>
      </c>
      <c r="N92" s="9">
        <v>60</v>
      </c>
      <c r="O92" s="9">
        <v>60</v>
      </c>
      <c r="P92" s="9">
        <f t="shared" si="27"/>
        <v>7.3321233149999996</v>
      </c>
      <c r="Q92" s="1">
        <f t="shared" si="24"/>
        <v>40.659956564999995</v>
      </c>
      <c r="R92" s="2">
        <f t="shared" si="25"/>
        <v>0</v>
      </c>
    </row>
    <row r="93" spans="2:18" s="13" customFormat="1" x14ac:dyDescent="0.45">
      <c r="B93" s="2"/>
      <c r="H93" s="11"/>
      <c r="I93" s="17" t="s">
        <v>5</v>
      </c>
      <c r="J93" s="4">
        <f t="shared" si="28"/>
        <v>25000</v>
      </c>
      <c r="K93" s="4">
        <v>50000</v>
      </c>
      <c r="L93" s="9">
        <f t="shared" si="23"/>
        <v>0</v>
      </c>
      <c r="M93" s="9">
        <f t="shared" si="26"/>
        <v>29.995200000000011</v>
      </c>
      <c r="N93" s="9">
        <v>60</v>
      </c>
      <c r="O93" s="9">
        <v>60</v>
      </c>
      <c r="P93" s="9">
        <f t="shared" si="27"/>
        <v>6.5989440000000021</v>
      </c>
      <c r="Q93" s="1">
        <f t="shared" si="24"/>
        <v>36.594144000000014</v>
      </c>
      <c r="R93" s="2">
        <f t="shared" si="25"/>
        <v>0</v>
      </c>
    </row>
    <row r="94" spans="2:18" s="13" customFormat="1" x14ac:dyDescent="0.45">
      <c r="B94" s="2"/>
      <c r="H94" s="11"/>
      <c r="I94" s="17" t="s">
        <v>6</v>
      </c>
      <c r="J94" s="4">
        <f t="shared" si="28"/>
        <v>50000</v>
      </c>
      <c r="K94" s="7">
        <v>150000</v>
      </c>
      <c r="L94" s="9">
        <f t="shared" si="23"/>
        <v>0</v>
      </c>
      <c r="M94" s="9">
        <f t="shared" si="26"/>
        <v>219.99925000000002</v>
      </c>
      <c r="N94" s="9">
        <v>60</v>
      </c>
      <c r="O94" s="9">
        <v>60</v>
      </c>
      <c r="P94" s="9">
        <f t="shared" si="27"/>
        <v>48.399835000000003</v>
      </c>
      <c r="Q94" s="1">
        <f t="shared" si="24"/>
        <v>268.39908500000001</v>
      </c>
      <c r="R94" s="2">
        <f t="shared" si="25"/>
        <v>0</v>
      </c>
    </row>
    <row r="95" spans="2:18" s="13" customFormat="1" x14ac:dyDescent="0.45">
      <c r="B95" s="2"/>
      <c r="H95" s="11"/>
      <c r="I95" s="17" t="s">
        <v>7</v>
      </c>
      <c r="J95" s="4">
        <f t="shared" si="28"/>
        <v>150000</v>
      </c>
      <c r="K95" s="4">
        <v>250000</v>
      </c>
      <c r="L95" s="9">
        <f t="shared" si="23"/>
        <v>0</v>
      </c>
      <c r="M95" s="9">
        <f t="shared" si="26"/>
        <v>-42.502499999999998</v>
      </c>
      <c r="N95" s="9">
        <v>60</v>
      </c>
      <c r="O95" s="9">
        <v>60</v>
      </c>
      <c r="P95" s="9">
        <f t="shared" si="27"/>
        <v>-9.3505500000000001</v>
      </c>
      <c r="Q95" s="1">
        <f t="shared" si="24"/>
        <v>-51.853049999999996</v>
      </c>
      <c r="R95" s="2">
        <f t="shared" si="25"/>
        <v>0</v>
      </c>
    </row>
    <row r="96" spans="2:18" s="13" customFormat="1" x14ac:dyDescent="0.45">
      <c r="B96" s="2"/>
      <c r="H96" s="11"/>
      <c r="I96" s="17" t="s">
        <v>8</v>
      </c>
      <c r="J96" s="4">
        <f t="shared" si="28"/>
        <v>250000</v>
      </c>
      <c r="K96" s="4">
        <v>500000</v>
      </c>
      <c r="L96" s="9">
        <f t="shared" si="23"/>
        <v>0</v>
      </c>
      <c r="M96" s="9">
        <f t="shared" si="26"/>
        <v>232.49860000000001</v>
      </c>
      <c r="N96" s="9">
        <v>60</v>
      </c>
      <c r="O96" s="9">
        <v>60</v>
      </c>
      <c r="P96" s="9">
        <f t="shared" si="27"/>
        <v>51.149692000000002</v>
      </c>
      <c r="Q96" s="1">
        <f t="shared" si="24"/>
        <v>283.64829200000003</v>
      </c>
      <c r="R96" s="2">
        <f t="shared" si="25"/>
        <v>0</v>
      </c>
    </row>
    <row r="97" spans="2:18" s="13" customFormat="1" x14ac:dyDescent="0.45">
      <c r="B97" s="2"/>
      <c r="H97" s="11"/>
      <c r="I97" s="17" t="s">
        <v>9</v>
      </c>
      <c r="J97" s="4">
        <f t="shared" si="28"/>
        <v>500000</v>
      </c>
      <c r="K97" s="4">
        <v>1500000</v>
      </c>
      <c r="L97" s="9">
        <f t="shared" si="23"/>
        <v>0</v>
      </c>
      <c r="M97" s="9">
        <f t="shared" si="26"/>
        <v>844.99982499999999</v>
      </c>
      <c r="N97" s="9">
        <v>60</v>
      </c>
      <c r="O97" s="9">
        <v>60</v>
      </c>
      <c r="P97" s="9">
        <f t="shared" si="27"/>
        <v>185.89996149999999</v>
      </c>
      <c r="Q97" s="1">
        <f t="shared" si="24"/>
        <v>1030.8997864999999</v>
      </c>
      <c r="R97" s="2">
        <f t="shared" si="25"/>
        <v>0</v>
      </c>
    </row>
    <row r="98" spans="2:18" s="13" customFormat="1" x14ac:dyDescent="0.45">
      <c r="B98" s="2"/>
      <c r="H98" s="11"/>
      <c r="I98" s="17" t="s">
        <v>10</v>
      </c>
      <c r="J98" s="4">
        <f t="shared" si="28"/>
        <v>1500000</v>
      </c>
      <c r="K98" s="4">
        <v>2500000</v>
      </c>
      <c r="L98" s="9">
        <f t="shared" si="23"/>
        <v>0</v>
      </c>
      <c r="M98" s="9">
        <f t="shared" si="26"/>
        <v>394.99952499999995</v>
      </c>
      <c r="N98" s="9">
        <v>60</v>
      </c>
      <c r="O98" s="9">
        <v>60</v>
      </c>
      <c r="P98" s="9">
        <f t="shared" si="27"/>
        <v>86.899895499999985</v>
      </c>
      <c r="Q98" s="1">
        <f t="shared" si="24"/>
        <v>481.89942049999991</v>
      </c>
      <c r="R98" s="2">
        <f t="shared" si="25"/>
        <v>0</v>
      </c>
    </row>
    <row r="99" spans="2:18" s="13" customFormat="1" x14ac:dyDescent="0.45">
      <c r="B99" s="2"/>
      <c r="H99" s="11"/>
      <c r="I99" s="17" t="s">
        <v>11</v>
      </c>
      <c r="J99" s="4">
        <f t="shared" si="28"/>
        <v>2500000</v>
      </c>
      <c r="K99" s="4">
        <v>5000000</v>
      </c>
      <c r="L99" s="9">
        <f t="shared" si="23"/>
        <v>0</v>
      </c>
      <c r="M99" s="9">
        <f t="shared" si="26"/>
        <v>707.49964999999997</v>
      </c>
      <c r="N99" s="9">
        <v>60</v>
      </c>
      <c r="O99" s="9">
        <v>60</v>
      </c>
      <c r="P99" s="9">
        <f t="shared" si="27"/>
        <v>155.649923</v>
      </c>
      <c r="Q99" s="1">
        <f t="shared" si="24"/>
        <v>863.14957299999992</v>
      </c>
      <c r="R99" s="2">
        <f t="shared" si="25"/>
        <v>0</v>
      </c>
    </row>
    <row r="100" spans="2:18" s="13" customFormat="1" x14ac:dyDescent="0.45">
      <c r="B100" s="2"/>
      <c r="H100" s="11"/>
      <c r="L100" s="2"/>
      <c r="R100" s="2">
        <f>MAX(R88:R99)</f>
        <v>0</v>
      </c>
    </row>
    <row r="101" spans="2:18" s="13" customFormat="1" x14ac:dyDescent="0.45">
      <c r="B101" s="2"/>
      <c r="H101" s="11"/>
      <c r="I101" s="17" t="s">
        <v>31</v>
      </c>
      <c r="J101" s="17"/>
      <c r="K101" s="17"/>
      <c r="L101" s="9"/>
      <c r="M101" s="17"/>
      <c r="N101" s="17"/>
      <c r="O101" s="17"/>
      <c r="P101" s="17"/>
    </row>
    <row r="102" spans="2:18" s="13" customFormat="1" x14ac:dyDescent="0.45">
      <c r="B102" s="2"/>
      <c r="H102" s="11"/>
      <c r="I102" s="17" t="s">
        <v>23</v>
      </c>
      <c r="J102" s="16"/>
      <c r="K102" s="16"/>
      <c r="L102" s="17" t="s">
        <v>24</v>
      </c>
      <c r="M102" s="17" t="s">
        <v>12</v>
      </c>
      <c r="N102" s="17"/>
      <c r="O102" s="17"/>
      <c r="P102" s="17" t="s">
        <v>28</v>
      </c>
      <c r="Q102" s="16" t="s">
        <v>0</v>
      </c>
    </row>
    <row r="103" spans="2:18" s="13" customFormat="1" x14ac:dyDescent="0.45">
      <c r="H103" s="11"/>
      <c r="I103" s="17" t="s">
        <v>1</v>
      </c>
      <c r="J103" s="4">
        <v>0</v>
      </c>
      <c r="K103" s="4">
        <v>1000</v>
      </c>
      <c r="L103" s="9">
        <f t="shared" ref="L103:L113" si="29">IF(AND($D$22&gt;J103,$D$22&lt;=K103),$D$22,0)</f>
        <v>0</v>
      </c>
      <c r="M103" s="9">
        <f>M75*1.1</f>
        <v>22</v>
      </c>
      <c r="N103" s="9">
        <v>60</v>
      </c>
      <c r="O103" s="9">
        <v>60</v>
      </c>
      <c r="P103" s="9">
        <f>M103*0.22</f>
        <v>4.84</v>
      </c>
      <c r="Q103" s="1">
        <f t="shared" ref="Q103:Q113" si="30">M103+P103</f>
        <v>26.84</v>
      </c>
      <c r="R103" s="2">
        <f t="shared" ref="R103:R113" si="31">IF(L103&gt;0,Q103,0)</f>
        <v>0</v>
      </c>
    </row>
    <row r="104" spans="2:18" s="13" customFormat="1" x14ac:dyDescent="0.45">
      <c r="H104" s="11"/>
      <c r="I104" s="17" t="s">
        <v>2</v>
      </c>
      <c r="J104" s="4">
        <f>K103</f>
        <v>1000</v>
      </c>
      <c r="K104" s="4">
        <v>5000</v>
      </c>
      <c r="L104" s="9">
        <f t="shared" si="29"/>
        <v>0</v>
      </c>
      <c r="M104" s="9">
        <f t="shared" ref="M104:M113" si="32">M76*1.1</f>
        <v>8.2142500000000016</v>
      </c>
      <c r="N104" s="9">
        <v>60</v>
      </c>
      <c r="O104" s="9">
        <v>60</v>
      </c>
      <c r="P104" s="9">
        <f t="shared" ref="P104:P113" si="33">M104*0.22</f>
        <v>1.8071350000000004</v>
      </c>
      <c r="Q104" s="1">
        <f t="shared" si="30"/>
        <v>10.021385000000002</v>
      </c>
      <c r="R104" s="2">
        <f t="shared" si="31"/>
        <v>0</v>
      </c>
    </row>
    <row r="105" spans="2:18" s="13" customFormat="1" x14ac:dyDescent="0.45">
      <c r="B105" s="2"/>
      <c r="H105" s="11"/>
      <c r="I105" s="17" t="s">
        <v>3</v>
      </c>
      <c r="J105" s="4">
        <f t="shared" ref="J105:J113" si="34">K104</f>
        <v>5000</v>
      </c>
      <c r="K105" s="4">
        <v>10000</v>
      </c>
      <c r="L105" s="9">
        <f t="shared" si="29"/>
        <v>0</v>
      </c>
      <c r="M105" s="9">
        <f t="shared" si="32"/>
        <v>21.933993399999984</v>
      </c>
      <c r="N105" s="9">
        <v>60</v>
      </c>
      <c r="O105" s="9">
        <v>60</v>
      </c>
      <c r="P105" s="9">
        <f t="shared" si="33"/>
        <v>4.8254785479999969</v>
      </c>
      <c r="Q105" s="1">
        <f t="shared" si="30"/>
        <v>26.75947194799998</v>
      </c>
      <c r="R105" s="2">
        <f t="shared" si="31"/>
        <v>0</v>
      </c>
    </row>
    <row r="106" spans="2:18" s="13" customFormat="1" x14ac:dyDescent="0.45">
      <c r="B106" s="2"/>
      <c r="H106" s="11"/>
      <c r="I106" s="17" t="s">
        <v>4</v>
      </c>
      <c r="J106" s="4">
        <f t="shared" si="34"/>
        <v>10000</v>
      </c>
      <c r="K106" s="4">
        <v>25000</v>
      </c>
      <c r="L106" s="9">
        <f t="shared" si="29"/>
        <v>0</v>
      </c>
      <c r="M106" s="9">
        <f t="shared" si="32"/>
        <v>146.6424663</v>
      </c>
      <c r="N106" s="9">
        <v>60</v>
      </c>
      <c r="O106" s="9">
        <v>60</v>
      </c>
      <c r="P106" s="9">
        <f t="shared" si="33"/>
        <v>32.261342585999998</v>
      </c>
      <c r="Q106" s="1">
        <f t="shared" si="30"/>
        <v>178.90380888599998</v>
      </c>
      <c r="R106" s="2">
        <f t="shared" si="31"/>
        <v>0</v>
      </c>
    </row>
    <row r="107" spans="2:18" s="13" customFormat="1" x14ac:dyDescent="0.45">
      <c r="B107" s="2"/>
      <c r="H107" s="11"/>
      <c r="I107" s="17" t="s">
        <v>5</v>
      </c>
      <c r="J107" s="4">
        <f t="shared" si="34"/>
        <v>25000</v>
      </c>
      <c r="K107" s="4">
        <v>50000</v>
      </c>
      <c r="L107" s="9">
        <f t="shared" si="29"/>
        <v>0</v>
      </c>
      <c r="M107" s="9">
        <f t="shared" si="32"/>
        <v>131.97888000000006</v>
      </c>
      <c r="N107" s="9">
        <v>60</v>
      </c>
      <c r="O107" s="9">
        <v>60</v>
      </c>
      <c r="P107" s="9">
        <f t="shared" si="33"/>
        <v>29.035353600000015</v>
      </c>
      <c r="Q107" s="1">
        <f t="shared" si="30"/>
        <v>161.01423360000007</v>
      </c>
      <c r="R107" s="2">
        <f t="shared" si="31"/>
        <v>0</v>
      </c>
    </row>
    <row r="108" spans="2:18" s="13" customFormat="1" x14ac:dyDescent="0.45">
      <c r="B108" s="2"/>
      <c r="H108" s="11"/>
      <c r="I108" s="17" t="s">
        <v>6</v>
      </c>
      <c r="J108" s="4">
        <f t="shared" si="34"/>
        <v>50000</v>
      </c>
      <c r="K108" s="7">
        <v>150000</v>
      </c>
      <c r="L108" s="9">
        <f t="shared" si="29"/>
        <v>0</v>
      </c>
      <c r="M108" s="9">
        <f t="shared" si="32"/>
        <v>967.99670000000015</v>
      </c>
      <c r="N108" s="9">
        <v>60</v>
      </c>
      <c r="O108" s="9">
        <v>60</v>
      </c>
      <c r="P108" s="9">
        <f t="shared" si="33"/>
        <v>212.95927400000002</v>
      </c>
      <c r="Q108" s="1">
        <f t="shared" si="30"/>
        <v>1180.9559740000002</v>
      </c>
      <c r="R108" s="2">
        <f t="shared" si="31"/>
        <v>0</v>
      </c>
    </row>
    <row r="109" spans="2:18" s="13" customFormat="1" x14ac:dyDescent="0.45">
      <c r="B109" s="2"/>
      <c r="H109" s="11"/>
      <c r="I109" s="17" t="s">
        <v>7</v>
      </c>
      <c r="J109" s="4">
        <f t="shared" si="34"/>
        <v>150000</v>
      </c>
      <c r="K109" s="4">
        <v>250000</v>
      </c>
      <c r="L109" s="9">
        <f t="shared" si="29"/>
        <v>0</v>
      </c>
      <c r="M109" s="9">
        <f t="shared" si="32"/>
        <v>-187.011</v>
      </c>
      <c r="N109" s="9">
        <v>60</v>
      </c>
      <c r="O109" s="9">
        <v>60</v>
      </c>
      <c r="P109" s="9">
        <f t="shared" si="33"/>
        <v>-41.142420000000001</v>
      </c>
      <c r="Q109" s="1">
        <f t="shared" si="30"/>
        <v>-228.15341999999998</v>
      </c>
      <c r="R109" s="2">
        <f t="shared" si="31"/>
        <v>0</v>
      </c>
    </row>
    <row r="110" spans="2:18" s="13" customFormat="1" x14ac:dyDescent="0.45">
      <c r="B110" s="2"/>
      <c r="H110" s="11"/>
      <c r="I110" s="17" t="s">
        <v>8</v>
      </c>
      <c r="J110" s="4">
        <f t="shared" si="34"/>
        <v>250000</v>
      </c>
      <c r="K110" s="4">
        <v>500000</v>
      </c>
      <c r="L110" s="9">
        <f t="shared" si="29"/>
        <v>0</v>
      </c>
      <c r="M110" s="9">
        <f t="shared" si="32"/>
        <v>1022.9938400000001</v>
      </c>
      <c r="N110" s="9">
        <v>60</v>
      </c>
      <c r="O110" s="9">
        <v>60</v>
      </c>
      <c r="P110" s="9">
        <f t="shared" si="33"/>
        <v>225.05864480000002</v>
      </c>
      <c r="Q110" s="1">
        <f t="shared" si="30"/>
        <v>1248.0524848</v>
      </c>
      <c r="R110" s="2">
        <f t="shared" si="31"/>
        <v>0</v>
      </c>
    </row>
    <row r="111" spans="2:18" s="13" customFormat="1" x14ac:dyDescent="0.45">
      <c r="B111" s="2"/>
      <c r="H111" s="11"/>
      <c r="I111" s="17" t="s">
        <v>9</v>
      </c>
      <c r="J111" s="4">
        <f t="shared" si="34"/>
        <v>500000</v>
      </c>
      <c r="K111" s="4">
        <v>1500000</v>
      </c>
      <c r="L111" s="9">
        <f t="shared" si="29"/>
        <v>0</v>
      </c>
      <c r="M111" s="9">
        <f t="shared" si="32"/>
        <v>3717.9992300000004</v>
      </c>
      <c r="N111" s="9">
        <v>60</v>
      </c>
      <c r="O111" s="9">
        <v>60</v>
      </c>
      <c r="P111" s="9">
        <f t="shared" si="33"/>
        <v>817.95983060000003</v>
      </c>
      <c r="Q111" s="1">
        <f t="shared" si="30"/>
        <v>4535.9590606000002</v>
      </c>
      <c r="R111" s="2">
        <f t="shared" si="31"/>
        <v>0</v>
      </c>
    </row>
    <row r="112" spans="2:18" s="13" customFormat="1" x14ac:dyDescent="0.45">
      <c r="B112" s="2"/>
      <c r="H112" s="11"/>
      <c r="I112" s="17" t="s">
        <v>10</v>
      </c>
      <c r="J112" s="4">
        <f t="shared" si="34"/>
        <v>1500000</v>
      </c>
      <c r="K112" s="4">
        <v>2500000</v>
      </c>
      <c r="L112" s="9">
        <f t="shared" si="29"/>
        <v>0</v>
      </c>
      <c r="M112" s="9">
        <f t="shared" si="32"/>
        <v>1737.9979099999998</v>
      </c>
      <c r="N112" s="9">
        <v>60</v>
      </c>
      <c r="O112" s="9">
        <v>60</v>
      </c>
      <c r="P112" s="9">
        <f t="shared" si="33"/>
        <v>382.35954019999997</v>
      </c>
      <c r="Q112" s="1">
        <f t="shared" si="30"/>
        <v>2120.3574501999997</v>
      </c>
      <c r="R112" s="2">
        <f t="shared" si="31"/>
        <v>0</v>
      </c>
    </row>
    <row r="113" spans="2:18" s="13" customFormat="1" x14ac:dyDescent="0.45">
      <c r="B113" s="2"/>
      <c r="H113" s="11"/>
      <c r="I113" s="17" t="s">
        <v>11</v>
      </c>
      <c r="J113" s="4">
        <f t="shared" si="34"/>
        <v>2500000</v>
      </c>
      <c r="K113" s="4">
        <v>5000000</v>
      </c>
      <c r="L113" s="9">
        <f t="shared" si="29"/>
        <v>0</v>
      </c>
      <c r="M113" s="9">
        <f t="shared" si="32"/>
        <v>3112.9984600000003</v>
      </c>
      <c r="N113" s="9">
        <v>60</v>
      </c>
      <c r="O113" s="9">
        <v>60</v>
      </c>
      <c r="P113" s="9">
        <f t="shared" si="33"/>
        <v>684.85966120000001</v>
      </c>
      <c r="Q113" s="1">
        <f t="shared" si="30"/>
        <v>3797.8581212000004</v>
      </c>
      <c r="R113" s="2">
        <f t="shared" si="31"/>
        <v>0</v>
      </c>
    </row>
    <row r="114" spans="2:18" s="13" customFormat="1" x14ac:dyDescent="0.45">
      <c r="B114" s="2"/>
      <c r="H114" s="11"/>
      <c r="R114" s="2">
        <f>MAX(R102:R113)</f>
        <v>0</v>
      </c>
    </row>
    <row r="115" spans="2:18" s="13" customFormat="1" x14ac:dyDescent="0.45">
      <c r="B115" s="2"/>
      <c r="H115" s="11"/>
    </row>
    <row r="116" spans="2:18" s="13" customFormat="1" x14ac:dyDescent="0.45">
      <c r="B116" s="2"/>
      <c r="H116" s="11"/>
    </row>
    <row r="117" spans="2:18" s="13" customFormat="1" x14ac:dyDescent="0.45">
      <c r="H117" s="11"/>
    </row>
  </sheetData>
  <sheetProtection password="8B9E" sheet="1" objects="1" scenarios="1"/>
  <mergeCells count="2">
    <mergeCell ref="B2:E2"/>
    <mergeCell ref="B1:E1"/>
  </mergeCells>
  <conditionalFormatting sqref="L18:L28 L32:L42 L46:L56">
    <cfRule type="cellIs" dxfId="9" priority="10" operator="greaterThan">
      <formula>0</formula>
    </cfRule>
  </conditionalFormatting>
  <conditionalFormatting sqref="L75:L85 L89:L99 L103:L113">
    <cfRule type="cellIs" dxfId="8" priority="9" operator="greaterThan">
      <formula>0</formula>
    </cfRule>
  </conditionalFormatting>
  <conditionalFormatting sqref="L5">
    <cfRule type="cellIs" dxfId="7" priority="8" operator="greaterThan">
      <formula>0</formula>
    </cfRule>
  </conditionalFormatting>
  <conditionalFormatting sqref="L4">
    <cfRule type="cellIs" dxfId="6" priority="7" operator="greaterThan">
      <formula>0</formula>
    </cfRule>
  </conditionalFormatting>
  <conditionalFormatting sqref="L6">
    <cfRule type="cellIs" dxfId="5" priority="6" operator="greaterThan">
      <formula>0</formula>
    </cfRule>
  </conditionalFormatting>
  <conditionalFormatting sqref="L8:L10">
    <cfRule type="cellIs" dxfId="4" priority="5" operator="greaterThan">
      <formula>0</formula>
    </cfRule>
  </conditionalFormatting>
  <conditionalFormatting sqref="L62">
    <cfRule type="cellIs" dxfId="3" priority="4" operator="greaterThan">
      <formula>0</formula>
    </cfRule>
  </conditionalFormatting>
  <conditionalFormatting sqref="L61">
    <cfRule type="cellIs" dxfId="2" priority="3" operator="greaterThan">
      <formula>0</formula>
    </cfRule>
  </conditionalFormatting>
  <conditionalFormatting sqref="L63">
    <cfRule type="cellIs" dxfId="1" priority="2" operator="greaterThan">
      <formula>0</formula>
    </cfRule>
  </conditionalFormatting>
  <conditionalFormatting sqref="L65:L67">
    <cfRule type="cellIs" dxfId="0" priority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Calcolatore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Cordiviola Francesca</dc:creator>
  <cp:lastModifiedBy>Giovanni Mambrini</cp:lastModifiedBy>
  <cp:lastPrinted>2025-08-01T10:20:56Z</cp:lastPrinted>
  <dcterms:created xsi:type="dcterms:W3CDTF">2024-11-13T15:55:21Z</dcterms:created>
  <dcterms:modified xsi:type="dcterms:W3CDTF">2025-08-01T10:21:41Z</dcterms:modified>
</cp:coreProperties>
</file>